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2025-02\"/>
    </mc:Choice>
  </mc:AlternateContent>
  <xr:revisionPtr revIDLastSave="0" documentId="13_ncr:1_{E807BEFF-B591-43A1-8E67-F5BEB3FB62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inger Hybrid" sheetId="1" r:id="rId1"/>
  </sheets>
  <definedNames>
    <definedName name="_xlnm._FilterDatabase" localSheetId="0" hidden="1">'Springer Hybrid'!$A$2:$E$2219</definedName>
    <definedName name="_xlnm.Print_Area" localSheetId="0">'Springer Hybrid'!$A$1:$E$67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19" i="1" l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<sst xmlns="http://schemas.openxmlformats.org/spreadsheetml/2006/main" count="8694" uniqueCount="4475">
  <si>
    <t>Journal Title</t>
  </si>
  <si>
    <t>Main Discipline</t>
  </si>
  <si>
    <t>Journal Homepage URL</t>
  </si>
  <si>
    <t>eISSN</t>
  </si>
  <si>
    <t>OA License Type</t>
  </si>
  <si>
    <t>Journal of Consumer Protection and Food Safety</t>
  </si>
  <si>
    <t>Life Sciences</t>
  </si>
  <si>
    <t>1661-5867</t>
  </si>
  <si>
    <t>CC BY</t>
  </si>
  <si>
    <t>Nexus Network Journal</t>
  </si>
  <si>
    <t>Mathematics</t>
  </si>
  <si>
    <t>1522-4600</t>
  </si>
  <si>
    <t>Advances in Applied Clifford Algebras</t>
  </si>
  <si>
    <t>Physics</t>
  </si>
  <si>
    <t>1661-4909</t>
  </si>
  <si>
    <t>Mediterranean Journal of Mathematics</t>
  </si>
  <si>
    <t>1660-5454</t>
  </si>
  <si>
    <t>Aequationes Mathematicae</t>
  </si>
  <si>
    <t>1420-8903</t>
  </si>
  <si>
    <t>Inflammation Research</t>
  </si>
  <si>
    <t>Biomedicine</t>
  </si>
  <si>
    <t>1420-908X</t>
  </si>
  <si>
    <t>Algebra Universalis</t>
  </si>
  <si>
    <t>1420-8911</t>
  </si>
  <si>
    <t>Archiv der Mathematik</t>
  </si>
  <si>
    <t>1420-8938</t>
  </si>
  <si>
    <t>Earth Sciences</t>
  </si>
  <si>
    <t>Physics in Perspective</t>
  </si>
  <si>
    <t>1422-6960</t>
  </si>
  <si>
    <t>Integral Equations and Operator Theory</t>
  </si>
  <si>
    <t>1420-8989</t>
  </si>
  <si>
    <t>Journal of Mathematical Fluid Mechanics</t>
  </si>
  <si>
    <t>1422-6952</t>
  </si>
  <si>
    <t>Journal of Geometry</t>
  </si>
  <si>
    <t>1420-8997</t>
  </si>
  <si>
    <t>Annales Henri Poincaré</t>
  </si>
  <si>
    <t>1424-0661</t>
  </si>
  <si>
    <t>Pure and Applied Geophysics</t>
  </si>
  <si>
    <t>1420-9136</t>
  </si>
  <si>
    <t>Results in Mathematics</t>
  </si>
  <si>
    <t>1420-9012</t>
  </si>
  <si>
    <t>Annals of Combinatorics</t>
  </si>
  <si>
    <t>0219-3094</t>
  </si>
  <si>
    <t>Aquatic Sciences</t>
  </si>
  <si>
    <t>1420-9055</t>
  </si>
  <si>
    <t>Journal of Evolution Equations</t>
  </si>
  <si>
    <t>1424-3202</t>
  </si>
  <si>
    <t>Selecta Mathematica</t>
  </si>
  <si>
    <t>1420-9020</t>
  </si>
  <si>
    <t>Nonlinear Differential Equations and Applications NoDEA</t>
  </si>
  <si>
    <t>1420-9004</t>
  </si>
  <si>
    <t>Transformation Groups</t>
  </si>
  <si>
    <t>1531-586X</t>
  </si>
  <si>
    <t>Milan Journal of Mathematics</t>
  </si>
  <si>
    <t>1424-9294</t>
  </si>
  <si>
    <t>Zeitschrift für Angewandte Mathematik und Physik</t>
  </si>
  <si>
    <t>Engineering</t>
  </si>
  <si>
    <t>1420-9039</t>
  </si>
  <si>
    <t>Circuits, Systems, and Signal Processing</t>
  </si>
  <si>
    <t>1531-5878</t>
  </si>
  <si>
    <t>Alpine Botany</t>
  </si>
  <si>
    <t>1664-221X</t>
  </si>
  <si>
    <t>Computational Complexity</t>
  </si>
  <si>
    <t>Computer Science</t>
  </si>
  <si>
    <t>1420-8954</t>
  </si>
  <si>
    <t>Geometric and Functional Analysis</t>
  </si>
  <si>
    <t>1420-8970</t>
  </si>
  <si>
    <t>Insectes Sociaux</t>
  </si>
  <si>
    <t>1420-9098</t>
  </si>
  <si>
    <t>Journal of Fourier Analysis and Applications</t>
  </si>
  <si>
    <t>1531-5851</t>
  </si>
  <si>
    <t>Medicinal Chemistry Research</t>
  </si>
  <si>
    <t>1554-8120</t>
  </si>
  <si>
    <t>NTM Zeitschrift für Geschichte der Wissenschaften, Technik und Medizin</t>
  </si>
  <si>
    <t>History</t>
  </si>
  <si>
    <t>1420-9144</t>
  </si>
  <si>
    <t>Chemoecology</t>
  </si>
  <si>
    <t>1423-0445</t>
  </si>
  <si>
    <t>Medicine &amp; Public Health</t>
  </si>
  <si>
    <t>coloproctology</t>
  </si>
  <si>
    <t>1615-6730</t>
  </si>
  <si>
    <t>Journal of Orofacial Orthopedics / Fortschritte der Kieferorthopädie</t>
  </si>
  <si>
    <t>Dentistry</t>
  </si>
  <si>
    <t>1615-6714</t>
  </si>
  <si>
    <t>Herz</t>
  </si>
  <si>
    <t>1615-6692</t>
  </si>
  <si>
    <t>Clinical Neuroradiology</t>
  </si>
  <si>
    <t>1869-1447</t>
  </si>
  <si>
    <t>Medizinische Klinik - Intensivmedizin und Notfallmedizin</t>
  </si>
  <si>
    <t>2193-6226</t>
  </si>
  <si>
    <t>Operative Orthopädie und Traumatologie</t>
  </si>
  <si>
    <t>1439-0981</t>
  </si>
  <si>
    <t>Strahlentherapie und Onkologie</t>
  </si>
  <si>
    <t>1439-099X</t>
  </si>
  <si>
    <t>European Journal of Trauma and Emergency Surgery</t>
  </si>
  <si>
    <t>1863-9941</t>
  </si>
  <si>
    <t>Die Anaesthesiologie</t>
  </si>
  <si>
    <t>2731-6866</t>
  </si>
  <si>
    <t>Bundesgesundheitsblatt - Gesundheitsforschung - Gesundheitsschutz</t>
  </si>
  <si>
    <t>1437-1588</t>
  </si>
  <si>
    <t>Die Chirurgie</t>
  </si>
  <si>
    <t>2731-698X</t>
  </si>
  <si>
    <t>Die Dermatologie</t>
  </si>
  <si>
    <t>2731-7013</t>
  </si>
  <si>
    <t>HNO</t>
  </si>
  <si>
    <t>1433-0458</t>
  </si>
  <si>
    <t>European Journal of Wood and Wood Products</t>
  </si>
  <si>
    <t>1436-736X</t>
  </si>
  <si>
    <t>Die Innere Medizin</t>
  </si>
  <si>
    <t>2731-7099</t>
  </si>
  <si>
    <t>Journal of Molecular Medicine</t>
  </si>
  <si>
    <t>1432-1440</t>
  </si>
  <si>
    <t>Monatsschrift Kinderheilkunde</t>
  </si>
  <si>
    <t>1433-0474</t>
  </si>
  <si>
    <t>Die Unfallchirurgie</t>
  </si>
  <si>
    <t>2731-703X</t>
  </si>
  <si>
    <t>The Science of Nature</t>
  </si>
  <si>
    <t>1432-1904</t>
  </si>
  <si>
    <t>Der Nervenarzt</t>
  </si>
  <si>
    <t>1433-0407</t>
  </si>
  <si>
    <t>Die Radiologie</t>
  </si>
  <si>
    <t>2731-7056</t>
  </si>
  <si>
    <t>Die Urologie</t>
  </si>
  <si>
    <t>2731-7072</t>
  </si>
  <si>
    <t>Theoretical and Applied Genetics</t>
  </si>
  <si>
    <t>1432-2242</t>
  </si>
  <si>
    <t>Diabetologia</t>
  </si>
  <si>
    <t>1432-0428</t>
  </si>
  <si>
    <t>Mineralium Deposita</t>
  </si>
  <si>
    <t>1432-1866</t>
  </si>
  <si>
    <t>Social Psychiatry and Psychiatric Epidemiology</t>
  </si>
  <si>
    <t>1433-9285</t>
  </si>
  <si>
    <t>Bulletin of Environmental Contamination and Toxicology</t>
  </si>
  <si>
    <t>Environment</t>
  </si>
  <si>
    <t>1432-0800</t>
  </si>
  <si>
    <t>Die Gynäkologie</t>
  </si>
  <si>
    <t>2731-7110</t>
  </si>
  <si>
    <t>Die Orthopädie</t>
  </si>
  <si>
    <t>2731-7153</t>
  </si>
  <si>
    <t>Intensive Care Medicine</t>
  </si>
  <si>
    <t>1432-1238</t>
  </si>
  <si>
    <t>CC BY-NC</t>
  </si>
  <si>
    <t>Machine Vision and Applications</t>
  </si>
  <si>
    <t>1432-1769</t>
  </si>
  <si>
    <t>Arthroskopie</t>
  </si>
  <si>
    <t>1434-3924</t>
  </si>
  <si>
    <t>Journal of Cryptology</t>
  </si>
  <si>
    <t>1432-1378</t>
  </si>
  <si>
    <t>AI &amp; SOCIETY</t>
  </si>
  <si>
    <t>1435-5655</t>
  </si>
  <si>
    <t>Journal of Population Economics</t>
  </si>
  <si>
    <t>Economics</t>
  </si>
  <si>
    <t>1432-1475</t>
  </si>
  <si>
    <t>Archive for Mathematical Logic</t>
  </si>
  <si>
    <t>1432-0665</t>
  </si>
  <si>
    <t>Structural and Multidisciplinary Optimization</t>
  </si>
  <si>
    <t>1615-1488</t>
  </si>
  <si>
    <t>The Astronomy and Astrophysics Review</t>
  </si>
  <si>
    <t>1432-0754</t>
  </si>
  <si>
    <t>Continuum Mechanics and Thermodynamics</t>
  </si>
  <si>
    <t>1432-0959</t>
  </si>
  <si>
    <t>Theoretical and Computational Fluid Dynamics</t>
  </si>
  <si>
    <t>1432-2250</t>
  </si>
  <si>
    <t>Research in Engineering Design</t>
  </si>
  <si>
    <t>1435-6066</t>
  </si>
  <si>
    <t>The Annals of Regional Science</t>
  </si>
  <si>
    <t>1432-0592</t>
  </si>
  <si>
    <t>The International Journal of Advanced Manufacturing Technology</t>
  </si>
  <si>
    <t>1433-3015</t>
  </si>
  <si>
    <t>Computational Statistics</t>
  </si>
  <si>
    <t>Statistics</t>
  </si>
  <si>
    <t>1613-9658</t>
  </si>
  <si>
    <t>Empirical Economics</t>
  </si>
  <si>
    <t>1435-8921</t>
  </si>
  <si>
    <t>International Journal of Game Theory</t>
  </si>
  <si>
    <t>1432-1270</t>
  </si>
  <si>
    <t>Metrika</t>
  </si>
  <si>
    <t>1435-926X</t>
  </si>
  <si>
    <t>Mathematical Methods of Operations Research</t>
  </si>
  <si>
    <t>1432-5217</t>
  </si>
  <si>
    <t>Journal of Management Control</t>
  </si>
  <si>
    <t>Business and Management</t>
  </si>
  <si>
    <t>2191-477X</t>
  </si>
  <si>
    <t>Journal of Geodesy</t>
  </si>
  <si>
    <t>1432-1394</t>
  </si>
  <si>
    <t>Journal of Evolutionary Economics</t>
  </si>
  <si>
    <t>1432-1386</t>
  </si>
  <si>
    <t>International Urogynecology Journal</t>
  </si>
  <si>
    <t>1433-3023</t>
  </si>
  <si>
    <t>Shock Waves</t>
  </si>
  <si>
    <t>1432-2153</t>
  </si>
  <si>
    <t>Rechtsmedizin</t>
  </si>
  <si>
    <t>1434-5196</t>
  </si>
  <si>
    <t>Osteoporosis International</t>
  </si>
  <si>
    <t>1433-2965</t>
  </si>
  <si>
    <t>Economic Theory</t>
  </si>
  <si>
    <t>1432-0479</t>
  </si>
  <si>
    <t>Applicable Algebra in Engineering, Communication and Computing</t>
  </si>
  <si>
    <t>1432-0622</t>
  </si>
  <si>
    <t>Electrical Engineering</t>
  </si>
  <si>
    <t>1432-0487</t>
  </si>
  <si>
    <t>Archives of Microbiology</t>
  </si>
  <si>
    <t>1432-072X</t>
  </si>
  <si>
    <t>Archives of Toxicology</t>
  </si>
  <si>
    <t>1432-0738</t>
  </si>
  <si>
    <t>Archive for Rational Mechanics and Analysis</t>
  </si>
  <si>
    <t>1432-0673</t>
  </si>
  <si>
    <t>Mathematische Annalen</t>
  </si>
  <si>
    <t>1432-1807</t>
  </si>
  <si>
    <t>Mathematische Zeitschrift</t>
  </si>
  <si>
    <t>1432-1823</t>
  </si>
  <si>
    <t>Naunyn-Schmiedeberg's Archives of Pharmacology</t>
  </si>
  <si>
    <t>1432-1912</t>
  </si>
  <si>
    <t>Numerische Mathematik</t>
  </si>
  <si>
    <t>0945-3245</t>
  </si>
  <si>
    <t>Psychopharmacology</t>
  </si>
  <si>
    <t>1432-2072</t>
  </si>
  <si>
    <t>Theoretical Chemistry Accounts</t>
  </si>
  <si>
    <t>Chemistry</t>
  </si>
  <si>
    <t>1432-2234</t>
  </si>
  <si>
    <t>Analytical and Bioanalytical Chemistry</t>
  </si>
  <si>
    <t>1618-2650</t>
  </si>
  <si>
    <t>European Food Research and Technology</t>
  </si>
  <si>
    <t>1438-2385</t>
  </si>
  <si>
    <t>Communications in Mathematical Physics</t>
  </si>
  <si>
    <t>1432-0916</t>
  </si>
  <si>
    <t>Experimental Brain Research</t>
  </si>
  <si>
    <t>1432-1106</t>
  </si>
  <si>
    <t>Inventiones Mathematicae</t>
  </si>
  <si>
    <t>1432-1297</t>
  </si>
  <si>
    <t>Calcified Tissue International</t>
  </si>
  <si>
    <t>1432-0827</t>
  </si>
  <si>
    <t>Theory of Computing Systems</t>
  </si>
  <si>
    <t>1433-0490</t>
  </si>
  <si>
    <t>Wood Science and Technology</t>
  </si>
  <si>
    <t>1432-5225</t>
  </si>
  <si>
    <t>Marine Biology</t>
  </si>
  <si>
    <t>1432-1793</t>
  </si>
  <si>
    <t>European Journal of Clinical Pharmacology</t>
  </si>
  <si>
    <t>1432-1041</t>
  </si>
  <si>
    <t>manuscripta mathematica</t>
  </si>
  <si>
    <t>1432-1785</t>
  </si>
  <si>
    <t>Heat and Mass Transfer</t>
  </si>
  <si>
    <t>1432-1181</t>
  </si>
  <si>
    <t>The Journal of Membrane Biology</t>
  </si>
  <si>
    <t>1432-1424</t>
  </si>
  <si>
    <t>Semigroup Forum</t>
  </si>
  <si>
    <t>1432-2137</t>
  </si>
  <si>
    <t>Neuroradiology</t>
  </si>
  <si>
    <t>1432-1920</t>
  </si>
  <si>
    <t>Acta Informatica</t>
  </si>
  <si>
    <t>1432-0525</t>
  </si>
  <si>
    <t>European Journal of Plastic Surgery</t>
  </si>
  <si>
    <t>1435-0130</t>
  </si>
  <si>
    <t>Journal of Molecular Evolution</t>
  </si>
  <si>
    <t>1432-1432</t>
  </si>
  <si>
    <t>Urolithiasis</t>
  </si>
  <si>
    <t>2194-7236</t>
  </si>
  <si>
    <t>Archives of Environmental Contamination and Toxicology</t>
  </si>
  <si>
    <t>1432-0703</t>
  </si>
  <si>
    <t>Applied Mathematics &amp; Optimization</t>
  </si>
  <si>
    <t>1432-0606</t>
  </si>
  <si>
    <t>Pediatric Cardiology</t>
  </si>
  <si>
    <t>1432-1971</t>
  </si>
  <si>
    <t>Pediatric Radiology</t>
  </si>
  <si>
    <t>1432-1998</t>
  </si>
  <si>
    <t>European Biophysics Journal</t>
  </si>
  <si>
    <t>1432-1017</t>
  </si>
  <si>
    <t>Immunogenetics</t>
  </si>
  <si>
    <t>1432-1211</t>
  </si>
  <si>
    <t>Skeletal Radiology</t>
  </si>
  <si>
    <t>1432-2161</t>
  </si>
  <si>
    <t>European Journal of Nuclear Medicine and Molecular Imaging</t>
  </si>
  <si>
    <t>1619-7089</t>
  </si>
  <si>
    <t>Abdominal Radiology</t>
  </si>
  <si>
    <t>2366-0058</t>
  </si>
  <si>
    <t>International Orthopaedics</t>
  </si>
  <si>
    <t>1432-5195</t>
  </si>
  <si>
    <t>Behavioral Ecology and Sociobiology</t>
  </si>
  <si>
    <t>1432-0762</t>
  </si>
  <si>
    <t>Aesthetic Plastic Surgery</t>
  </si>
  <si>
    <t>1432-5241</t>
  </si>
  <si>
    <t>Environmental Management</t>
  </si>
  <si>
    <t>1432-1009</t>
  </si>
  <si>
    <t>Physics and Chemistry of Minerals</t>
  </si>
  <si>
    <t>1432-2021</t>
  </si>
  <si>
    <t>CardioVascular and Interventional Radiology</t>
  </si>
  <si>
    <t>1432-086X</t>
  </si>
  <si>
    <t>Irrigation Science</t>
  </si>
  <si>
    <t>1432-1319</t>
  </si>
  <si>
    <t>Surgical and Radiologic Anatomy</t>
  </si>
  <si>
    <t>1279-8517</t>
  </si>
  <si>
    <t>Die Psychotherapie</t>
  </si>
  <si>
    <t>2731-717X</t>
  </si>
  <si>
    <t>Cancer Chemotherapy and Pharmacology</t>
  </si>
  <si>
    <t>1432-0843</t>
  </si>
  <si>
    <t>Seminars in Immunopathology</t>
  </si>
  <si>
    <t>1863-2300</t>
  </si>
  <si>
    <t>The Mathematical Intelligencer</t>
  </si>
  <si>
    <t>1866-7414</t>
  </si>
  <si>
    <t>Current Microbiology</t>
  </si>
  <si>
    <t>1432-0991</t>
  </si>
  <si>
    <t>Journal of Mathematical Biology</t>
  </si>
  <si>
    <t>1432-1416</t>
  </si>
  <si>
    <t>Informatik Spektrum</t>
  </si>
  <si>
    <t>1432-122X</t>
  </si>
  <si>
    <t>Polymer Bulletin</t>
  </si>
  <si>
    <t>1436-2449</t>
  </si>
  <si>
    <t>OR Spectrum</t>
  </si>
  <si>
    <t>1436-6304</t>
  </si>
  <si>
    <t>Die Pathologie</t>
  </si>
  <si>
    <t>2731-7196</t>
  </si>
  <si>
    <t>Current Genetics</t>
  </si>
  <si>
    <t>1432-0983</t>
  </si>
  <si>
    <t>Rheumatology International</t>
  </si>
  <si>
    <t>1437-160X</t>
  </si>
  <si>
    <t>Plant Cell Reports</t>
  </si>
  <si>
    <t>1432-203X</t>
  </si>
  <si>
    <t>Polar Biology</t>
  </si>
  <si>
    <t>1432-2056</t>
  </si>
  <si>
    <t>European Radiology</t>
  </si>
  <si>
    <t>1432-1084</t>
  </si>
  <si>
    <t>Journal of Nonlinear Science</t>
  </si>
  <si>
    <t>1432-1467</t>
  </si>
  <si>
    <t>Vegetation History and Archaeobotany</t>
  </si>
  <si>
    <t>1617-6278</t>
  </si>
  <si>
    <t>Mammalian Genome</t>
  </si>
  <si>
    <t>1432-1777</t>
  </si>
  <si>
    <t>Manuelle Medizin</t>
  </si>
  <si>
    <t>1433-0466</t>
  </si>
  <si>
    <t>Coral Reefs</t>
  </si>
  <si>
    <t>1432-0975</t>
  </si>
  <si>
    <t>Applied Physics A</t>
  </si>
  <si>
    <t>1432-0630</t>
  </si>
  <si>
    <t>Applied Physics B</t>
  </si>
  <si>
    <t>1432-0649</t>
  </si>
  <si>
    <t>Journal of Oceanology and Limnology</t>
  </si>
  <si>
    <t>2523-3521</t>
  </si>
  <si>
    <t>Journal of Plant Growth Regulation</t>
  </si>
  <si>
    <t>1435-8107</t>
  </si>
  <si>
    <t>World Journal of Urology</t>
  </si>
  <si>
    <t>1433-8726</t>
  </si>
  <si>
    <t>Die Ophthalmologie</t>
  </si>
  <si>
    <t>2731-7218</t>
  </si>
  <si>
    <t>Experiments in Fluids</t>
  </si>
  <si>
    <t>1432-1114</t>
  </si>
  <si>
    <t>Medizinrecht</t>
  </si>
  <si>
    <t>Law</t>
  </si>
  <si>
    <t>1433-8629</t>
  </si>
  <si>
    <t>New Generation Computing</t>
  </si>
  <si>
    <t>1882-7055</t>
  </si>
  <si>
    <t>Social Choice and Welfare</t>
  </si>
  <si>
    <t>1432-217X</t>
  </si>
  <si>
    <t>Journal of Classification</t>
  </si>
  <si>
    <t>1432-1343</t>
  </si>
  <si>
    <t>Journal of Comparative Physiology A</t>
  </si>
  <si>
    <t>1432-1351</t>
  </si>
  <si>
    <t>Journal of Comparative Physiology B</t>
  </si>
  <si>
    <t>1432-136X</t>
  </si>
  <si>
    <t>Statistical Papers</t>
  </si>
  <si>
    <t>1613-9798</t>
  </si>
  <si>
    <t>Constructive Approximation</t>
  </si>
  <si>
    <t>1432-0940</t>
  </si>
  <si>
    <t>Engineering with Computers</t>
  </si>
  <si>
    <t>1435-5663</t>
  </si>
  <si>
    <t>Geo-Marine Letters</t>
  </si>
  <si>
    <t>1432-1157</t>
  </si>
  <si>
    <t>The Visual Computer</t>
  </si>
  <si>
    <t>1432-2315</t>
  </si>
  <si>
    <t>Graphs and Combinatorics</t>
  </si>
  <si>
    <t>1435-5914</t>
  </si>
  <si>
    <t>Biology and Fertility of Soils</t>
  </si>
  <si>
    <t>1432-0789</t>
  </si>
  <si>
    <t>Advances in Atmospheric Sciences</t>
  </si>
  <si>
    <t>1861-9533</t>
  </si>
  <si>
    <t>Heart and Vessels</t>
  </si>
  <si>
    <t>1615-2573</t>
  </si>
  <si>
    <t>Child's Nervous System</t>
  </si>
  <si>
    <t>1433-0350</t>
  </si>
  <si>
    <t>Climate Dynamics</t>
  </si>
  <si>
    <t>1432-0894</t>
  </si>
  <si>
    <t>Pediatric Surgery International</t>
  </si>
  <si>
    <t>1437-9813</t>
  </si>
  <si>
    <t>Zeitschrift für Gerontologie und Geriatrie</t>
  </si>
  <si>
    <t>1435-1269</t>
  </si>
  <si>
    <t>Clinical Research in Cardiology</t>
  </si>
  <si>
    <t>1861-0692</t>
  </si>
  <si>
    <t>Zeitschrift für Rheumatologie</t>
  </si>
  <si>
    <t>1435-1250</t>
  </si>
  <si>
    <t>European Journal of Nutrition</t>
  </si>
  <si>
    <t>1436-6215</t>
  </si>
  <si>
    <t>Basic Research in Cardiology</t>
  </si>
  <si>
    <t>1435-1803</t>
  </si>
  <si>
    <t>Colloid and Polymer Science</t>
  </si>
  <si>
    <t>1435-1536</t>
  </si>
  <si>
    <t>Rheologica Acta</t>
  </si>
  <si>
    <t>Materials Science</t>
  </si>
  <si>
    <t>1435-1528</t>
  </si>
  <si>
    <t>Zeitschrift für Herz-,Thorax- und Gefäßchirurgie</t>
  </si>
  <si>
    <t>1435-1277</t>
  </si>
  <si>
    <t>Herzschrittmachertherapie + Elektrophysiologie</t>
  </si>
  <si>
    <t>1435-1544</t>
  </si>
  <si>
    <t>Acta Neuropathologica</t>
  </si>
  <si>
    <t>1432-0533</t>
  </si>
  <si>
    <t>Archives of Orthopaedic and Trauma Surgery</t>
  </si>
  <si>
    <t>1434-3916</t>
  </si>
  <si>
    <t>Archives of Dermatological Research</t>
  </si>
  <si>
    <t>1432-069X</t>
  </si>
  <si>
    <t>European Archives of Oto-Rhino-Laryngology</t>
  </si>
  <si>
    <t>1434-4726</t>
  </si>
  <si>
    <t>European Archives of Psychiatry and Clinical Neuroscience</t>
  </si>
  <si>
    <t>1433-8491</t>
  </si>
  <si>
    <t>Archive for History of Exact Sciences</t>
  </si>
  <si>
    <t>1432-0657</t>
  </si>
  <si>
    <t>Lung</t>
  </si>
  <si>
    <t>1432-1750</t>
  </si>
  <si>
    <t>Contributions to Mineralogy and Petrology</t>
  </si>
  <si>
    <t>1432-0967</t>
  </si>
  <si>
    <t>Radiation and Environmental Biophysics</t>
  </si>
  <si>
    <t>1432-2099</t>
  </si>
  <si>
    <t>Chromosoma</t>
  </si>
  <si>
    <t>1432-0886</t>
  </si>
  <si>
    <t>International Journal of Legal Medicine</t>
  </si>
  <si>
    <t>1437-1596</t>
  </si>
  <si>
    <t>Journal of Neurology</t>
  </si>
  <si>
    <t>1432-1459</t>
  </si>
  <si>
    <t>Graefe's Archive for Clinical and Experimental Ophthalmology</t>
  </si>
  <si>
    <t>1435-702X</t>
  </si>
  <si>
    <t>Histochemistry and Cell Biology</t>
  </si>
  <si>
    <t>1432-119X</t>
  </si>
  <si>
    <t>Archive of Applied Mechanics</t>
  </si>
  <si>
    <t>1432-0681</t>
  </si>
  <si>
    <t>International Archives of Occupational and Environmental Health</t>
  </si>
  <si>
    <t>1432-1246</t>
  </si>
  <si>
    <t>European Journal of Applied Physiology</t>
  </si>
  <si>
    <t>1439-6327</t>
  </si>
  <si>
    <t>Biological Cybernetics</t>
  </si>
  <si>
    <t>1432-0770</t>
  </si>
  <si>
    <t>Pflügers Archiv - European Journal of Physiology</t>
  </si>
  <si>
    <t>1432-2013</t>
  </si>
  <si>
    <t>Planta</t>
  </si>
  <si>
    <t>1432-2048</t>
  </si>
  <si>
    <t>Psychological Research</t>
  </si>
  <si>
    <t>Psychology</t>
  </si>
  <si>
    <t>1430-2772</t>
  </si>
  <si>
    <t>Virchows Archiv</t>
  </si>
  <si>
    <t>1432-2307</t>
  </si>
  <si>
    <t>Brain Structure and Function</t>
  </si>
  <si>
    <t>1863-2661</t>
  </si>
  <si>
    <t>Medical Microbiology and Immunology</t>
  </si>
  <si>
    <t>1432-1831</t>
  </si>
  <si>
    <t>European Journal of Pediatrics</t>
  </si>
  <si>
    <t>1432-1076</t>
  </si>
  <si>
    <t>Zoomorphology</t>
  </si>
  <si>
    <t>1432-234X</t>
  </si>
  <si>
    <t>Molecular Genetics and Genomics</t>
  </si>
  <si>
    <t>1617-4623</t>
  </si>
  <si>
    <t>Human Genetics</t>
  </si>
  <si>
    <t>1432-1203</t>
  </si>
  <si>
    <t>Probability Theory and Related Fields</t>
  </si>
  <si>
    <t>1432-2064</t>
  </si>
  <si>
    <t>Cell and Tissue Research</t>
  </si>
  <si>
    <t>1432-0878</t>
  </si>
  <si>
    <t>Oecologia</t>
  </si>
  <si>
    <t>1432-1939</t>
  </si>
  <si>
    <t>Bulletin of Volcanology</t>
  </si>
  <si>
    <t>1432-0819</t>
  </si>
  <si>
    <t>Distributed Computing</t>
  </si>
  <si>
    <t>1432-0452</t>
  </si>
  <si>
    <t>Bioprocess and Biosystems Engineering</t>
  </si>
  <si>
    <t>1615-7605</t>
  </si>
  <si>
    <t>Forum der Psychoanalyse</t>
  </si>
  <si>
    <t>1437-0751</t>
  </si>
  <si>
    <t>Algorithmica</t>
  </si>
  <si>
    <t>1432-0541</t>
  </si>
  <si>
    <t>Discrete &amp; Computational Geometry</t>
  </si>
  <si>
    <t>1432-0444</t>
  </si>
  <si>
    <t>Dysphagia</t>
  </si>
  <si>
    <t>1432-0460</t>
  </si>
  <si>
    <t>Surgical Endoscopy</t>
  </si>
  <si>
    <t>1432-2218</t>
  </si>
  <si>
    <t>Computational Mechanics</t>
  </si>
  <si>
    <t>1432-0924</t>
  </si>
  <si>
    <t>Pediatric Nephrology</t>
  </si>
  <si>
    <t>1432-198X</t>
  </si>
  <si>
    <t>Trees</t>
  </si>
  <si>
    <t>1432-2285</t>
  </si>
  <si>
    <t>Stochastic Environmental Research and Risk Assessment</t>
  </si>
  <si>
    <t>1436-3259</t>
  </si>
  <si>
    <t>Ethik in der Medizin</t>
  </si>
  <si>
    <t>1437-1618</t>
  </si>
  <si>
    <t>Der Schmerz</t>
  </si>
  <si>
    <t>1432-2129</t>
  </si>
  <si>
    <t>International Journal of Biometeorology</t>
  </si>
  <si>
    <t>1432-1254</t>
  </si>
  <si>
    <t>Combinatorica</t>
  </si>
  <si>
    <t>1439-6912</t>
  </si>
  <si>
    <t>Plant Reproduction</t>
  </si>
  <si>
    <t>2194-7961</t>
  </si>
  <si>
    <t>Mathematics of Control, Signals, and Systems</t>
  </si>
  <si>
    <t>1435-568X</t>
  </si>
  <si>
    <t>Soft Computing</t>
  </si>
  <si>
    <t>1433-7479</t>
  </si>
  <si>
    <t>BHM Berg- und Hüttenmännische Monatshefte</t>
  </si>
  <si>
    <t>1613-7531</t>
  </si>
  <si>
    <t>e+i Elektrotechnik und Informationstechnik</t>
  </si>
  <si>
    <t>1613-7620</t>
  </si>
  <si>
    <t>Österreichische Wasser- und Abfallwirtschaft</t>
  </si>
  <si>
    <t>1613-7566</t>
  </si>
  <si>
    <t>Wiener Klinische Wochenschrift</t>
  </si>
  <si>
    <t>1613-7671</t>
  </si>
  <si>
    <t>Supportive Care in Cancer</t>
  </si>
  <si>
    <t>1433-7339</t>
  </si>
  <si>
    <t>Neural Computing and Applications</t>
  </si>
  <si>
    <t>1433-3058</t>
  </si>
  <si>
    <t>Calculus of Variations and Partial Differential Equations</t>
  </si>
  <si>
    <t>1432-0835</t>
  </si>
  <si>
    <t>Multimedia Systems</t>
  </si>
  <si>
    <t>1432-1882</t>
  </si>
  <si>
    <t>International Journal of Earth Sciences</t>
  </si>
  <si>
    <t>1437-3262</t>
  </si>
  <si>
    <t>Journal of Gastroenterology</t>
  </si>
  <si>
    <t>1435-5922</t>
  </si>
  <si>
    <t>Journal of Anesthesia</t>
  </si>
  <si>
    <t>1438-8359</t>
  </si>
  <si>
    <t>Microsystem Technologies</t>
  </si>
  <si>
    <t>1432-1858</t>
  </si>
  <si>
    <t>Standort</t>
  </si>
  <si>
    <t>Geography</t>
  </si>
  <si>
    <t>1432-220X</t>
  </si>
  <si>
    <t>Sustainability Nexus Forum</t>
  </si>
  <si>
    <t>2948-1627</t>
  </si>
  <si>
    <t>Mycorrhiza</t>
  </si>
  <si>
    <t>1432-1890</t>
  </si>
  <si>
    <t>Bulletin of the Brazilian Mathematical Society, New Series</t>
  </si>
  <si>
    <t>1678-7714</t>
  </si>
  <si>
    <t>Comparative Clinical Pathology</t>
  </si>
  <si>
    <t>1618-565X</t>
  </si>
  <si>
    <t>European Spine Journal</t>
  </si>
  <si>
    <t>1432-0932</t>
  </si>
  <si>
    <t>European Journal of Orthopaedic Surgery &amp; Traumatology</t>
  </si>
  <si>
    <t>1432-1068</t>
  </si>
  <si>
    <t>Mathematische Semesterberichte</t>
  </si>
  <si>
    <t>1432-1815</t>
  </si>
  <si>
    <t>Acta Diabetologica</t>
  </si>
  <si>
    <t>1432-5233</t>
  </si>
  <si>
    <t>Surgery Today</t>
  </si>
  <si>
    <t>1436-2813</t>
  </si>
  <si>
    <t>Few-Body Systems</t>
  </si>
  <si>
    <t>1432-5411</t>
  </si>
  <si>
    <t>Rock Mechanics and Rock Engineering</t>
  </si>
  <si>
    <t>1434-453X</t>
  </si>
  <si>
    <t>Microchimica Acta</t>
  </si>
  <si>
    <t>1436-5073</t>
  </si>
  <si>
    <t>Monatshefte für Mathematik</t>
  </si>
  <si>
    <t>1436-5081</t>
  </si>
  <si>
    <t>Plant Systematics and Evolution</t>
  </si>
  <si>
    <t>1615-6110</t>
  </si>
  <si>
    <t>Computing</t>
  </si>
  <si>
    <t>1436-5057</t>
  </si>
  <si>
    <t>Pädiatrie &amp; Pädologie</t>
  </si>
  <si>
    <t>1613-7558</t>
  </si>
  <si>
    <t>Journal of Neural Transmission</t>
  </si>
  <si>
    <t>1435-1463</t>
  </si>
  <si>
    <t>Meteorology and Atmospheric Physics</t>
  </si>
  <si>
    <t>1436-5065</t>
  </si>
  <si>
    <t>Theoretical and Applied Climatology</t>
  </si>
  <si>
    <t>1434-4483</t>
  </si>
  <si>
    <t>Archives of Virology</t>
  </si>
  <si>
    <t>1432-8798</t>
  </si>
  <si>
    <t>Monatshefte für Chemie - Chemical Monthly</t>
  </si>
  <si>
    <t>1434-4475</t>
  </si>
  <si>
    <t>Acta Mechanica</t>
  </si>
  <si>
    <t>1619-6937</t>
  </si>
  <si>
    <t>Protoplasma</t>
  </si>
  <si>
    <t>1615-6102</t>
  </si>
  <si>
    <t>Mineralogy and Petrology</t>
  </si>
  <si>
    <t>1438-1168</t>
  </si>
  <si>
    <t>Journal of Economics</t>
  </si>
  <si>
    <t>1617-7134</t>
  </si>
  <si>
    <t>Spektrum der Augenheilkunde</t>
  </si>
  <si>
    <t>1613-7523</t>
  </si>
  <si>
    <t>Applied Magnetic Resonance</t>
  </si>
  <si>
    <t>1613-7507</t>
  </si>
  <si>
    <t>Psychotherapie Forum</t>
  </si>
  <si>
    <t>1613-7604</t>
  </si>
  <si>
    <t>PRO CARE</t>
  </si>
  <si>
    <t>1613-7574</t>
  </si>
  <si>
    <t>Archives of Women's Mental Health</t>
  </si>
  <si>
    <t>1435-1102</t>
  </si>
  <si>
    <t>Psychopraxis. Neuropraxis</t>
  </si>
  <si>
    <t>2197-9715</t>
  </si>
  <si>
    <t>Wiener Klinisches Magazin</t>
  </si>
  <si>
    <t>1613-7817</t>
  </si>
  <si>
    <t>Die Onkologie</t>
  </si>
  <si>
    <t>2731-7234</t>
  </si>
  <si>
    <t>JPC – Journal of Planar Chromatography – Modern TLC</t>
  </si>
  <si>
    <t>1789-0993</t>
  </si>
  <si>
    <t>Requirements Engineering</t>
  </si>
  <si>
    <t>1432-010X</t>
  </si>
  <si>
    <t>Grundwasser</t>
  </si>
  <si>
    <t>1432-1165</t>
  </si>
  <si>
    <t>Accreditation and Quality Assurance</t>
  </si>
  <si>
    <t>1432-0517</t>
  </si>
  <si>
    <t>Gefässchirurgie</t>
  </si>
  <si>
    <t>1434-3932</t>
  </si>
  <si>
    <t>Journal of Marine Science and Technology</t>
  </si>
  <si>
    <t>1437-8213</t>
  </si>
  <si>
    <t>Journal of Bone and Mineral Metabolism</t>
  </si>
  <si>
    <t>1435-5604</t>
  </si>
  <si>
    <t>JBIC Journal of Biological Inorganic Chemistry</t>
  </si>
  <si>
    <t>1432-1327</t>
  </si>
  <si>
    <t>The VLDB Journal</t>
  </si>
  <si>
    <t>0949-877X</t>
  </si>
  <si>
    <t>Personal and Ubiquitous Computing</t>
  </si>
  <si>
    <t>1617-4917</t>
  </si>
  <si>
    <t>Finance and Stochastics</t>
  </si>
  <si>
    <t>1432-1122</t>
  </si>
  <si>
    <t>Clinical Oral Investigations</t>
  </si>
  <si>
    <t>1436-3771</t>
  </si>
  <si>
    <t>European Child &amp; Adolescent Psychiatry</t>
  </si>
  <si>
    <t>1435-165X</t>
  </si>
  <si>
    <t>Extremophiles</t>
  </si>
  <si>
    <t>1433-4909</t>
  </si>
  <si>
    <t>Medical Molecular Morphology</t>
  </si>
  <si>
    <t>1860-1499</t>
  </si>
  <si>
    <t>International Journal on Digital Libraries</t>
  </si>
  <si>
    <t>1432-1300</t>
  </si>
  <si>
    <t>Journal of Molecular Modeling</t>
  </si>
  <si>
    <t>0948-5023</t>
  </si>
  <si>
    <t>Oral and Maxillofacial Surgery</t>
  </si>
  <si>
    <t>1865-1569</t>
  </si>
  <si>
    <t>Journal of Solid State Electrochemistry</t>
  </si>
  <si>
    <t>1433-0768</t>
  </si>
  <si>
    <t>International Journal on Software Tools for Technology Transfer</t>
  </si>
  <si>
    <t>1433-2787</t>
  </si>
  <si>
    <t>Forschung im Ingenieurwesen</t>
  </si>
  <si>
    <t>1434-0860</t>
  </si>
  <si>
    <t>Vietnam Journal of Mathematics</t>
  </si>
  <si>
    <t>2305-2228</t>
  </si>
  <si>
    <t>Brain Tumor Pathology</t>
  </si>
  <si>
    <t>1861-387X</t>
  </si>
  <si>
    <t>Artificial Life and Robotics</t>
  </si>
  <si>
    <t>1614-7456</t>
  </si>
  <si>
    <t>Environmental Economics and Policy Studies</t>
  </si>
  <si>
    <t>1867-383X</t>
  </si>
  <si>
    <t>Ecosystems</t>
  </si>
  <si>
    <t>1435-0629</t>
  </si>
  <si>
    <t>Hernia</t>
  </si>
  <si>
    <t>1248-9204</t>
  </si>
  <si>
    <t>International Journal on Document Analysis and Recognition (IJDAR)</t>
  </si>
  <si>
    <t>1433-2825</t>
  </si>
  <si>
    <t>Granular Matter</t>
  </si>
  <si>
    <t>1434-7636</t>
  </si>
  <si>
    <t>Review of Regional Research</t>
  </si>
  <si>
    <t>1613-9836</t>
  </si>
  <si>
    <t>Journal of Human Genetics</t>
  </si>
  <si>
    <t>1435-232X</t>
  </si>
  <si>
    <t>Hydrogeology Journal</t>
  </si>
  <si>
    <t>1435-0157</t>
  </si>
  <si>
    <t>Optical Review</t>
  </si>
  <si>
    <t>1349-9432</t>
  </si>
  <si>
    <t>Pattern Analysis and Applications</t>
  </si>
  <si>
    <t>1433-755X</t>
  </si>
  <si>
    <t>Journal of Artificial Organs</t>
  </si>
  <si>
    <t>1619-0904</t>
  </si>
  <si>
    <t>neurogenetics</t>
  </si>
  <si>
    <t>1364-6753</t>
  </si>
  <si>
    <t>Notfall + Rettungsmedizin</t>
  </si>
  <si>
    <t>1436-0578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</si>
  <si>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</si>
  <si>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</si>
  <si>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</si>
  <si>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</si>
  <si>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</si>
  <si>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</si>
  <si>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Review of Economic Design</t>
  </si>
  <si>
    <t>1434-4750</t>
  </si>
  <si>
    <t>Bulletin of Engineering Geology and the Environment</t>
  </si>
  <si>
    <t>1435-9537</t>
  </si>
  <si>
    <t>Clinical Rheumatology</t>
  </si>
  <si>
    <t>1434-9949</t>
  </si>
  <si>
    <t>Food Science and Biotechnology</t>
  </si>
  <si>
    <t>2092-6456</t>
  </si>
  <si>
    <t>Neurological Sciences</t>
  </si>
  <si>
    <t>1590-3478</t>
  </si>
  <si>
    <t>Calcolo</t>
  </si>
  <si>
    <t>1126-5434</t>
  </si>
  <si>
    <t>European Journal of Clinical Microbiology &amp; Infectious Diseases</t>
  </si>
  <si>
    <t>1435-4373</t>
  </si>
  <si>
    <t>Clean Technologies and Environmental Policy</t>
  </si>
  <si>
    <t>1618-9558</t>
  </si>
  <si>
    <t>Central European Journal of Operations Research</t>
  </si>
  <si>
    <t>1613-9178</t>
  </si>
  <si>
    <t>Economics of Governance</t>
  </si>
  <si>
    <t>1435-8131</t>
  </si>
  <si>
    <t>Lasers in Medical Science</t>
  </si>
  <si>
    <t>1435-604X</t>
  </si>
  <si>
    <t>Mathematical Programming</t>
  </si>
  <si>
    <t>1436-4646</t>
  </si>
  <si>
    <t>Journal of Geographical Systems</t>
  </si>
  <si>
    <t>1435-5949</t>
  </si>
  <si>
    <t>Cognition, Technology &amp; Work</t>
  </si>
  <si>
    <t>1435-5566</t>
  </si>
  <si>
    <t>Regional Environmental Change</t>
  </si>
  <si>
    <t>1436-378X</t>
  </si>
  <si>
    <t>Acta Mathematica Sinica, English Series</t>
  </si>
  <si>
    <t>1439-7617</t>
  </si>
  <si>
    <t>Knowledge and Information Systems</t>
  </si>
  <si>
    <t>0219-3116</t>
  </si>
  <si>
    <t>Chinese Journal of Polymer Science</t>
  </si>
  <si>
    <t>1439-6203</t>
  </si>
  <si>
    <t>Gastric Cancer</t>
  </si>
  <si>
    <t>1436-3305</t>
  </si>
  <si>
    <t>International Microbiology</t>
  </si>
  <si>
    <t>1618-1905</t>
  </si>
  <si>
    <t>Marine Biotechnology</t>
  </si>
  <si>
    <t>1436-2236</t>
  </si>
  <si>
    <t>Emergency Radiology</t>
  </si>
  <si>
    <t>1438-1435</t>
  </si>
  <si>
    <t>Functional &amp; Integrative Genomics</t>
  </si>
  <si>
    <t>1438-7948</t>
  </si>
  <si>
    <t>Neurosurgical Review</t>
  </si>
  <si>
    <t>1437-2320</t>
  </si>
  <si>
    <t>International Journal of Clinical Oncology</t>
  </si>
  <si>
    <t>1437-7772</t>
  </si>
  <si>
    <t>Clinical and Experimental Nephrology</t>
  </si>
  <si>
    <t>1437-7799</t>
  </si>
  <si>
    <t>Journal of the Association for Research in Otolaryngology</t>
  </si>
  <si>
    <t>1438-7573</t>
  </si>
  <si>
    <t>Journal of Material Cycles and Waste Management</t>
  </si>
  <si>
    <t>1611-8227</t>
  </si>
  <si>
    <t>Journal of Ethology</t>
  </si>
  <si>
    <t>1439-5444</t>
  </si>
  <si>
    <t>AStA Advances in Statistical Analysis</t>
  </si>
  <si>
    <t>1863-818X</t>
  </si>
  <si>
    <t>The European Physical Journal E</t>
  </si>
  <si>
    <t>1292-895X</t>
  </si>
  <si>
    <t>The European Journal of Health Economics</t>
  </si>
  <si>
    <t>1618-7601</t>
  </si>
  <si>
    <t>Limnology</t>
  </si>
  <si>
    <t>1439-863X</t>
  </si>
  <si>
    <t>Decisions in Economics and Finance</t>
  </si>
  <si>
    <t>1129-6569</t>
  </si>
  <si>
    <t>International Journal of Information Security</t>
  </si>
  <si>
    <t>1615-5270</t>
  </si>
  <si>
    <t>Foundations of Computational Mathematics</t>
  </si>
  <si>
    <t>1615-3383</t>
  </si>
  <si>
    <t>Universal Access in the Information Society</t>
  </si>
  <si>
    <t>1615-5297</t>
  </si>
  <si>
    <t>Acta Ethologica</t>
  </si>
  <si>
    <t>1437-9546</t>
  </si>
  <si>
    <t>European Journal of Psychology of Education</t>
  </si>
  <si>
    <t>Education</t>
  </si>
  <si>
    <t>1878-5174</t>
  </si>
  <si>
    <t>Ichthyological Research</t>
  </si>
  <si>
    <t>1616-3915</t>
  </si>
  <si>
    <t>Mine Water and the Environment</t>
  </si>
  <si>
    <t>1616-1068</t>
  </si>
  <si>
    <t>Annali di Matematica Pura ed Applicata (1923 -)</t>
  </si>
  <si>
    <t>1618-1891</t>
  </si>
  <si>
    <t>Ocean Dynamics</t>
  </si>
  <si>
    <t>1616-7228</t>
  </si>
  <si>
    <t>Biomechanics and Modeling in Mechanobiology</t>
  </si>
  <si>
    <t>1617-7940</t>
  </si>
  <si>
    <t>Acta Mathematicae Applicatae Sinica, English Series</t>
  </si>
  <si>
    <t>1618-3932</t>
  </si>
  <si>
    <t>Information Systems and e-Business Management</t>
  </si>
  <si>
    <t>1617-9854</t>
  </si>
  <si>
    <t>Portuguese Economic Journal</t>
  </si>
  <si>
    <t>1617-9838</t>
  </si>
  <si>
    <t>Statistical Methods &amp; Applications</t>
  </si>
  <si>
    <t>1613-981X</t>
  </si>
  <si>
    <t>Journal of Plant Research</t>
  </si>
  <si>
    <t>1618-0860</t>
  </si>
  <si>
    <t>Odontology</t>
  </si>
  <si>
    <t>1618-1255</t>
  </si>
  <si>
    <t>Software and Systems Modeling</t>
  </si>
  <si>
    <t>1619-1374</t>
  </si>
  <si>
    <t>Journal of Imaging Informatics in Medicine</t>
  </si>
  <si>
    <t>2948-2933</t>
  </si>
  <si>
    <t>Clinical Autonomic Research</t>
  </si>
  <si>
    <t>1619-1560</t>
  </si>
  <si>
    <t>Computational Management Science</t>
  </si>
  <si>
    <t>1619-6988</t>
  </si>
  <si>
    <t>4OR</t>
  </si>
  <si>
    <t>1614-2411</t>
  </si>
  <si>
    <t>Review of World Economics</t>
  </si>
  <si>
    <t>1610-2886</t>
  </si>
  <si>
    <t>GPS Solutions</t>
  </si>
  <si>
    <t>1521-1886</t>
  </si>
  <si>
    <t>Gynäkologische Endokrinologie</t>
  </si>
  <si>
    <t>1610-2908</t>
  </si>
  <si>
    <t>Asia Europe Journal</t>
  </si>
  <si>
    <t>Social Sciences</t>
  </si>
  <si>
    <t>1612-1031</t>
  </si>
  <si>
    <t>Clinical Epileptology</t>
  </si>
  <si>
    <t>2948-1058</t>
  </si>
  <si>
    <t>Environmental Chemistry Letters</t>
  </si>
  <si>
    <t>1610-3661</t>
  </si>
  <si>
    <t>Journal of General Plant Pathology</t>
  </si>
  <si>
    <t>1610-739X</t>
  </si>
  <si>
    <t>Primates</t>
  </si>
  <si>
    <t>1610-7365</t>
  </si>
  <si>
    <t>Paddy and Water Environment</t>
  </si>
  <si>
    <t>1611-2504</t>
  </si>
  <si>
    <t>Magnetic Resonance Materials in Physics, Biology and Medicine</t>
  </si>
  <si>
    <t>1352-8661</t>
  </si>
  <si>
    <t>Journal of Ornithology</t>
  </si>
  <si>
    <t>2193-7206</t>
  </si>
  <si>
    <t>Chromatographia</t>
  </si>
  <si>
    <t>1612-1112</t>
  </si>
  <si>
    <t>Acta Mechanica Solida Sinica</t>
  </si>
  <si>
    <t>1860-2134</t>
  </si>
  <si>
    <t>Cognitive Processing</t>
  </si>
  <si>
    <t>1612-4790</t>
  </si>
  <si>
    <t>Journal of Pest Science</t>
  </si>
  <si>
    <t>1612-4766</t>
  </si>
  <si>
    <t>Applied Fruit Science</t>
  </si>
  <si>
    <t>2948-2631</t>
  </si>
  <si>
    <t>European Journal of Forest Research</t>
  </si>
  <si>
    <t>1612-4677</t>
  </si>
  <si>
    <t>Journal of Crop Health</t>
  </si>
  <si>
    <t>2948-2658</t>
  </si>
  <si>
    <t>European Journal of Wildlife Research</t>
  </si>
  <si>
    <t>1439-0574</t>
  </si>
  <si>
    <t>Landslides</t>
  </si>
  <si>
    <t>1612-5118</t>
  </si>
  <si>
    <t>Facies</t>
  </si>
  <si>
    <t>1612-4820</t>
  </si>
  <si>
    <t>European Surgery</t>
  </si>
  <si>
    <t>1682-4016</t>
  </si>
  <si>
    <t>Wiener Medizinische Wochenschrift</t>
  </si>
  <si>
    <t>1563-258X</t>
  </si>
  <si>
    <t>Natur und Recht</t>
  </si>
  <si>
    <t>1439-0515</t>
  </si>
  <si>
    <t>International Economics and Economic Policy</t>
  </si>
  <si>
    <t>1612-4812</t>
  </si>
  <si>
    <t>Japanese Journal of Ophthalmology</t>
  </si>
  <si>
    <t>1613-2246</t>
  </si>
  <si>
    <t>Esophagus</t>
  </si>
  <si>
    <t>1612-9067</t>
  </si>
  <si>
    <t>Journal of Public Health</t>
  </si>
  <si>
    <t>1613-2238</t>
  </si>
  <si>
    <t>EcoHealth</t>
  </si>
  <si>
    <t>1612-9210</t>
  </si>
  <si>
    <t>Journal of Medical Ultrasonics</t>
  </si>
  <si>
    <t>1613-2254</t>
  </si>
  <si>
    <t>Microfluidics and Nanofluidics</t>
  </si>
  <si>
    <t>1613-4990</t>
  </si>
  <si>
    <t>Zeitschrift für Pneumologie</t>
  </si>
  <si>
    <t>2731-7412</t>
  </si>
  <si>
    <t>Acta Mechanica Sinica</t>
  </si>
  <si>
    <t>1614-3116</t>
  </si>
  <si>
    <t>Annals of Surgical Oncology</t>
  </si>
  <si>
    <t>1534-4681</t>
  </si>
  <si>
    <t>Annals of Finance</t>
  </si>
  <si>
    <t>Finance</t>
  </si>
  <si>
    <t>1614-2454</t>
  </si>
  <si>
    <t>African Archaeological Review</t>
  </si>
  <si>
    <t>1572-9842</t>
  </si>
  <si>
    <t>Applied Biochemistry and Microbiology</t>
  </si>
  <si>
    <t>1608-3024</t>
  </si>
  <si>
    <t>Annals of Biomedical Engineering</t>
  </si>
  <si>
    <t>1573-9686</t>
  </si>
  <si>
    <t>Acta Applicandae Mathematicae</t>
  </si>
  <si>
    <t>1572-9036</t>
  </si>
  <si>
    <t>Acta Biotheoretica</t>
  </si>
  <si>
    <t>Philosophy</t>
  </si>
  <si>
    <t>1572-8358</t>
  </si>
  <si>
    <t>Applied Composite Materials</t>
  </si>
  <si>
    <t>1573-4897</t>
  </si>
  <si>
    <t>Advances in Computational Mathematics</t>
  </si>
  <si>
    <t>1572-9044</t>
  </si>
  <si>
    <t>International Journal for the Advancement of Counselling</t>
  </si>
  <si>
    <t>1573-3246</t>
  </si>
  <si>
    <t>Adsorption</t>
  </si>
  <si>
    <t>1572-8757</t>
  </si>
  <si>
    <t>Aquatic Ecology</t>
  </si>
  <si>
    <t>1573-5125</t>
  </si>
  <si>
    <t>Aerobiologia</t>
  </si>
  <si>
    <t>1573-3025</t>
  </si>
  <si>
    <t>Annals of Global Analysis and Geometry</t>
  </si>
  <si>
    <t>1572-9060</t>
  </si>
  <si>
    <t>Angiogenesis</t>
  </si>
  <si>
    <t>1573-7209</t>
  </si>
  <si>
    <t>Agroforestry Systems</t>
  </si>
  <si>
    <t>1572-9680</t>
  </si>
  <si>
    <t>Autonomous Agents and Multi-Agent Systems</t>
  </si>
  <si>
    <t>1573-7454</t>
  </si>
  <si>
    <t>Advances in Health Sciences Education</t>
  </si>
  <si>
    <t>1573-1677</t>
  </si>
  <si>
    <t>Agriculture and Human Values</t>
  </si>
  <si>
    <t>1572-8366</t>
  </si>
  <si>
    <t>AIDS and Behavior</t>
  </si>
  <si>
    <t>1573-3254</t>
  </si>
  <si>
    <t>American Journal of Dance Therapy</t>
  </si>
  <si>
    <t>1573-3262</t>
  </si>
  <si>
    <t>Algebras and Representation Theory</t>
  </si>
  <si>
    <t>1572-9079</t>
  </si>
  <si>
    <t>Algebra and Logic</t>
  </si>
  <si>
    <t>1573-8302</t>
  </si>
  <si>
    <t>Analog Integrated Circuits and Signal Processing</t>
  </si>
  <si>
    <t>1573-1979</t>
  </si>
  <si>
    <t>Annals of Mathematics and Artificial Intelligence</t>
  </si>
  <si>
    <t>1573-7470</t>
  </si>
  <si>
    <t>Acta Mathematica Scientia</t>
  </si>
  <si>
    <t>1572-9087</t>
  </si>
  <si>
    <t>Acta Mathematica Hungarica</t>
  </si>
  <si>
    <t>1588-2632</t>
  </si>
  <si>
    <t>Analysis Mathematica</t>
  </si>
  <si>
    <t>1588-273X</t>
  </si>
  <si>
    <t>Annals of Operations Research</t>
  </si>
  <si>
    <t>1572-9338</t>
  </si>
  <si>
    <t>Antonie van Leeuwenhoek</t>
  </si>
  <si>
    <t>1572-9699</t>
  </si>
  <si>
    <t>Applied Mathematics and Mechanics</t>
  </si>
  <si>
    <t>1573-2754</t>
  </si>
  <si>
    <t>Applied Psychophysiology and Biofeedback</t>
  </si>
  <si>
    <t>1573-3270</t>
  </si>
  <si>
    <t>Applied Categorical Structures</t>
  </si>
  <si>
    <t>1572-9095</t>
  </si>
  <si>
    <t>Administration and Policy in Mental Health and Mental Health Services Research</t>
  </si>
  <si>
    <t>1573-3289</t>
  </si>
  <si>
    <t>Applied Intelligence</t>
  </si>
  <si>
    <t>1573-7497</t>
  </si>
  <si>
    <t>Asia Pacific Journal of Management</t>
  </si>
  <si>
    <t>1572-9958</t>
  </si>
  <si>
    <t>Applications of Mathematics</t>
  </si>
  <si>
    <t>1572-9109</t>
  </si>
  <si>
    <t>Experimental and Applied Acarology</t>
  </si>
  <si>
    <t>1572-9702</t>
  </si>
  <si>
    <t>Flow, Turbulence and Combustion</t>
  </si>
  <si>
    <t>1573-1987</t>
  </si>
  <si>
    <t>Apoptosis</t>
  </si>
  <si>
    <t>1573-675X</t>
  </si>
  <si>
    <t>Aquatic Geochemistry</t>
  </si>
  <si>
    <t>1573-1421</t>
  </si>
  <si>
    <t>Aquaculture International</t>
  </si>
  <si>
    <t>1573-143X</t>
  </si>
  <si>
    <t>Archival Science</t>
  </si>
  <si>
    <t>Cultural and Media Studies</t>
  </si>
  <si>
    <t>1573-7500</t>
  </si>
  <si>
    <t>Argumentation</t>
  </si>
  <si>
    <t>1572-8374</t>
  </si>
  <si>
    <t>Artificial Intelligence and Law</t>
  </si>
  <si>
    <t>1572-8382</t>
  </si>
  <si>
    <t>Archives of Sexual Behavior</t>
  </si>
  <si>
    <t>1573-2800</t>
  </si>
  <si>
    <t>Astrophysics and Space Science</t>
  </si>
  <si>
    <t>1572-946X</t>
  </si>
  <si>
    <t>Automation and Remote Control</t>
  </si>
  <si>
    <t>1608-3032</t>
  </si>
  <si>
    <t>Autonomous Robots</t>
  </si>
  <si>
    <t>1573-7527</t>
  </si>
  <si>
    <t>Automated Software Engineering</t>
  </si>
  <si>
    <t>1573-7535</t>
  </si>
  <si>
    <t>Global Philosophy</t>
  </si>
  <si>
    <t>2948-1538</t>
  </si>
  <si>
    <t>Bulletin of Earthquake Engineering</t>
  </si>
  <si>
    <t>1573-1456</t>
  </si>
  <si>
    <t>Behavior Genetics</t>
  </si>
  <si>
    <t>1573-3297</t>
  </si>
  <si>
    <t>Biogerontology</t>
  </si>
  <si>
    <t>1573-6768</t>
  </si>
  <si>
    <t>Biology Bulletin</t>
  </si>
  <si>
    <t>1608-3059</t>
  </si>
  <si>
    <t>BioControl</t>
  </si>
  <si>
    <t>1573-8248</t>
  </si>
  <si>
    <t>Biochemical Genetics</t>
  </si>
  <si>
    <t>1573-4927</t>
  </si>
  <si>
    <t>Biotechnology Letters</t>
  </si>
  <si>
    <t>1573-6776</t>
  </si>
  <si>
    <t>Biological Invasions</t>
  </si>
  <si>
    <t>1573-1464</t>
  </si>
  <si>
    <t>Biodiversity and Conservation</t>
  </si>
  <si>
    <t>1572-9710</t>
  </si>
  <si>
    <t>Biodegradation</t>
  </si>
  <si>
    <t>1572-9729</t>
  </si>
  <si>
    <t>BioMetals</t>
  </si>
  <si>
    <t>1572-8773</t>
  </si>
  <si>
    <t>Biology &amp; Philosophy</t>
  </si>
  <si>
    <t>1572-8404</t>
  </si>
  <si>
    <t>Biochemistry (Moscow)</t>
  </si>
  <si>
    <t>1608-3040</t>
  </si>
  <si>
    <t>BIT Numerical Mathematics</t>
  </si>
  <si>
    <t>1572-9125</t>
  </si>
  <si>
    <t>Biomedical Microdevices</t>
  </si>
  <si>
    <t>1572-8781</t>
  </si>
  <si>
    <t>Boundary-Layer Meteorology</t>
  </si>
  <si>
    <t>1573-1472</t>
  </si>
  <si>
    <t>Brain Topography</t>
  </si>
  <si>
    <t>1573-6792</t>
  </si>
  <si>
    <t>Breast Cancer Research and Treatment</t>
  </si>
  <si>
    <t>1573-7217</t>
  </si>
  <si>
    <t>Journal of Business Ethics</t>
  </si>
  <si>
    <t>1573-0697</t>
  </si>
  <si>
    <t>Cancer Causes &amp; Control</t>
  </si>
  <si>
    <t>1573-7225</t>
  </si>
  <si>
    <t>The International Journal of Cardiovascular Imaging</t>
  </si>
  <si>
    <t>1875-8312</t>
  </si>
  <si>
    <t>Cancer and Metastasis Reviews</t>
  </si>
  <si>
    <t>1573-7233</t>
  </si>
  <si>
    <t>Cardiovascular Drugs and Therapy</t>
  </si>
  <si>
    <t>1573-7241</t>
  </si>
  <si>
    <t>Cybernetics and Systems Analysis</t>
  </si>
  <si>
    <t>1573-8337</t>
  </si>
  <si>
    <t>Child and Adolescent Social Work Journal</t>
  </si>
  <si>
    <t>1573-2797</t>
  </si>
  <si>
    <t>Cell and Tissue Banking</t>
  </si>
  <si>
    <t>1573-6814</t>
  </si>
  <si>
    <t>Catalysis Letters</t>
  </si>
  <si>
    <t>1572-879X</t>
  </si>
  <si>
    <t>Catalysis Surveys from Asia</t>
  </si>
  <si>
    <t>1574-9266</t>
  </si>
  <si>
    <t>Child &amp; Youth Care Forum</t>
  </si>
  <si>
    <t>1573-3319</t>
  </si>
  <si>
    <t>Clinical Child and Family Psychology Review</t>
  </si>
  <si>
    <t>1573-2827</t>
  </si>
  <si>
    <t>Celestial Mechanics and Dynamical Astronomy</t>
  </si>
  <si>
    <t>1572-9478</t>
  </si>
  <si>
    <t>Cellulose</t>
  </si>
  <si>
    <t>1572-882X</t>
  </si>
  <si>
    <t>Combustion, Explosion, and Shock Waves</t>
  </si>
  <si>
    <t>1573-8345</t>
  </si>
  <si>
    <t>Chromosome Research</t>
  </si>
  <si>
    <t>1573-6849</t>
  </si>
  <si>
    <t>Child Psychiatry &amp; Human Development</t>
  </si>
  <si>
    <t>1573-3327</t>
  </si>
  <si>
    <t>Language Resources and Evaluation</t>
  </si>
  <si>
    <t>Linguistics</t>
  </si>
  <si>
    <t>1574-0218</t>
  </si>
  <si>
    <t>Children's Literature in Education</t>
  </si>
  <si>
    <t>1573-1693</t>
  </si>
  <si>
    <t>Climatic Change</t>
  </si>
  <si>
    <t>1573-1480</t>
  </si>
  <si>
    <t>Clinical &amp; Experimental Metastasis</t>
  </si>
  <si>
    <t>1573-7276</t>
  </si>
  <si>
    <t>Cluster Computing</t>
  </si>
  <si>
    <t>1573-7543</t>
  </si>
  <si>
    <t>Czechoslovak Mathematical Journal</t>
  </si>
  <si>
    <t>1572-9141</t>
  </si>
  <si>
    <t>Computational and Mathematical Organization Theory</t>
  </si>
  <si>
    <t>1572-9346</t>
  </si>
  <si>
    <t>Computational Optimization and Applications</t>
  </si>
  <si>
    <t>1573-2894</t>
  </si>
  <si>
    <t>Contemporary Family Therapy</t>
  </si>
  <si>
    <t>1573-3335</t>
  </si>
  <si>
    <t>Conservation Genetics</t>
  </si>
  <si>
    <t>1572-9737</t>
  </si>
  <si>
    <t>Chemistry of Heterocyclic Compounds</t>
  </si>
  <si>
    <t>1573-8353</t>
  </si>
  <si>
    <t>Colloid Journal</t>
  </si>
  <si>
    <t>1608-3067</t>
  </si>
  <si>
    <t>Computational Geosciences</t>
  </si>
  <si>
    <t>1573-1499</t>
  </si>
  <si>
    <t>Community Mental Health Journal</t>
  </si>
  <si>
    <t>1573-2789</t>
  </si>
  <si>
    <t>Computational Mathematics and Modeling</t>
  </si>
  <si>
    <t>1573-837X</t>
  </si>
  <si>
    <t>Constraints</t>
  </si>
  <si>
    <t>1572-9354</t>
  </si>
  <si>
    <t>Constitutional Political Economy</t>
  </si>
  <si>
    <t>Political Science and International Relations</t>
  </si>
  <si>
    <t>1572-9966</t>
  </si>
  <si>
    <t>Journal of Consumer Policy</t>
  </si>
  <si>
    <t>1573-0700</t>
  </si>
  <si>
    <t>Cosmic Research</t>
  </si>
  <si>
    <t>1608-3075</t>
  </si>
  <si>
    <t>Computer Supported Cooperative Work (CSCW)</t>
  </si>
  <si>
    <t>1573-7551</t>
  </si>
  <si>
    <t>Cognitive Therapy and Research</t>
  </si>
  <si>
    <t>1573-2819</t>
  </si>
  <si>
    <t>Criminal Law Forum</t>
  </si>
  <si>
    <t>1572-9850</t>
  </si>
  <si>
    <t>European Journal on Criminal Policy and Research</t>
  </si>
  <si>
    <t>Criminology and Criminal Justice</t>
  </si>
  <si>
    <t>1572-9869</t>
  </si>
  <si>
    <t>Crime, Law and Social Change</t>
  </si>
  <si>
    <t>1573-0751</t>
  </si>
  <si>
    <t>Critical Criminology</t>
  </si>
  <si>
    <t>1572-9877</t>
  </si>
  <si>
    <t>Computational Economics</t>
  </si>
  <si>
    <t>1572-9974</t>
  </si>
  <si>
    <t>Clinical Social Work Journal</t>
  </si>
  <si>
    <t>1573-3343</t>
  </si>
  <si>
    <t>Cytotechnology</t>
  </si>
  <si>
    <t>1573-0778</t>
  </si>
  <si>
    <t>Design Automation for Embedded Systems</t>
  </si>
  <si>
    <t>1572-8080</t>
  </si>
  <si>
    <t>Data Mining and Knowledge Discovery</t>
  </si>
  <si>
    <t>1573-756X</t>
  </si>
  <si>
    <t>Distributed and Parallel Databases</t>
  </si>
  <si>
    <t>1573-7578</t>
  </si>
  <si>
    <t>Digestive Diseases and Sciences</t>
  </si>
  <si>
    <t>1573-2568</t>
  </si>
  <si>
    <t>Designs, Codes and Cryptography</t>
  </si>
  <si>
    <t>1573-7586</t>
  </si>
  <si>
    <t>Dialectical Anthropology</t>
  </si>
  <si>
    <t>1573-0786</t>
  </si>
  <si>
    <t>Differential Equations</t>
  </si>
  <si>
    <t>1608-3083</t>
  </si>
  <si>
    <t>Discrete Event Dynamic Systems</t>
  </si>
  <si>
    <t>1573-7594</t>
  </si>
  <si>
    <t>Doklady Biochemistry and Biophysics</t>
  </si>
  <si>
    <t>1608-3091</t>
  </si>
  <si>
    <t>Doklady Biological Sciences</t>
  </si>
  <si>
    <t>1608-3105</t>
  </si>
  <si>
    <t>Doklady Chemistry</t>
  </si>
  <si>
    <t>1608-3113</t>
  </si>
  <si>
    <t>Documenta Ophthalmologica</t>
  </si>
  <si>
    <t>1573-2622</t>
  </si>
  <si>
    <t>Doklady Physical Chemistry</t>
  </si>
  <si>
    <t>1608-3121</t>
  </si>
  <si>
    <t>Investigational New Drugs</t>
  </si>
  <si>
    <t>1573-0646</t>
  </si>
  <si>
    <t>Education and Information Technologies</t>
  </si>
  <si>
    <t>1573-7608</t>
  </si>
  <si>
    <t>Environmental and Resource Economics</t>
  </si>
  <si>
    <t>1573-1502</t>
  </si>
  <si>
    <t>Environmental Biology of Fishes</t>
  </si>
  <si>
    <t>1573-5133</t>
  </si>
  <si>
    <t>Early Childhood Education Journal</t>
  </si>
  <si>
    <t>1573-1707</t>
  </si>
  <si>
    <t>Economic Change and Restructuring</t>
  </si>
  <si>
    <t>1574-0277</t>
  </si>
  <si>
    <t>De Economist</t>
  </si>
  <si>
    <t>1572-9982</t>
  </si>
  <si>
    <t>Ecotoxicology</t>
  </si>
  <si>
    <t>1573-3017</t>
  </si>
  <si>
    <t>Educational Psychology Review</t>
  </si>
  <si>
    <t>1573-336X</t>
  </si>
  <si>
    <t>Educational Studies in Mathematics</t>
  </si>
  <si>
    <t>1573-0816</t>
  </si>
  <si>
    <t>Environmental and Ecological Statistics</t>
  </si>
  <si>
    <t>1573-3009</t>
  </si>
  <si>
    <t>Environmental Fluid Mechanics</t>
  </si>
  <si>
    <t>1573-1510</t>
  </si>
  <si>
    <t>Environmental Geochemistry and Health</t>
  </si>
  <si>
    <t>1573-2983</t>
  </si>
  <si>
    <t>European Journal of Epidemiology</t>
  </si>
  <si>
    <t>1573-7284</t>
  </si>
  <si>
    <t>European Journal of Law and Economics</t>
  </si>
  <si>
    <t>1572-9990</t>
  </si>
  <si>
    <t>European Journal of Plant Pathology</t>
  </si>
  <si>
    <t>1573-8469</t>
  </si>
  <si>
    <t>Journal of Elasticity</t>
  </si>
  <si>
    <t>1573-2681</t>
  </si>
  <si>
    <t>Electronic Commerce Research</t>
  </si>
  <si>
    <t>1572-9362</t>
  </si>
  <si>
    <t>Environmental Monitoring and Assessment</t>
  </si>
  <si>
    <t>1573-2959</t>
  </si>
  <si>
    <t>Empirica</t>
  </si>
  <si>
    <t>1573-6911</t>
  </si>
  <si>
    <t>Empirical Software Engineering</t>
  </si>
  <si>
    <t>1573-7616</t>
  </si>
  <si>
    <t>Journal of Engineering Mathematics</t>
  </si>
  <si>
    <t>1573-2703</t>
  </si>
  <si>
    <t>Environmental Modeling &amp; Assessment</t>
  </si>
  <si>
    <t>1573-2967</t>
  </si>
  <si>
    <t>Environment, Development and Sustainability</t>
  </si>
  <si>
    <t>1573-2975</t>
  </si>
  <si>
    <t>Environment Systems and Decisions</t>
  </si>
  <si>
    <t>2194-5411</t>
  </si>
  <si>
    <t>Erkenntnis</t>
  </si>
  <si>
    <t>1572-8420</t>
  </si>
  <si>
    <t>Educational Research for Policy and Practice</t>
  </si>
  <si>
    <t>1573-1723</t>
  </si>
  <si>
    <t>Employee Responsibilities and Rights Journal</t>
  </si>
  <si>
    <t>1573-3378</t>
  </si>
  <si>
    <t>Ethics and Information Technology</t>
  </si>
  <si>
    <t>1572-8439</t>
  </si>
  <si>
    <t>Ethical Theory and Moral Practice</t>
  </si>
  <si>
    <t>1572-8447</t>
  </si>
  <si>
    <t>Euphytica</t>
  </si>
  <si>
    <t>1573-5060</t>
  </si>
  <si>
    <t>Evolutionary Ecology</t>
  </si>
  <si>
    <t>1573-8477</t>
  </si>
  <si>
    <t>Experimental Astronomy</t>
  </si>
  <si>
    <t>1572-9508</t>
  </si>
  <si>
    <t>Extremes</t>
  </si>
  <si>
    <t>1572-915X</t>
  </si>
  <si>
    <t>Functional Analysis and Its Applications</t>
  </si>
  <si>
    <t>1573-8485</t>
  </si>
  <si>
    <t>Familial Cancer</t>
  </si>
  <si>
    <t>1573-7292</t>
  </si>
  <si>
    <t>Asia-Pacific Financial Markets</t>
  </si>
  <si>
    <t>1573-6946</t>
  </si>
  <si>
    <t>Feminist Legal Studies</t>
  </si>
  <si>
    <t>1572-8455</t>
  </si>
  <si>
    <t>Journal of Financial Services Research</t>
  </si>
  <si>
    <t>1573-0735</t>
  </si>
  <si>
    <t>Fire Technology</t>
  </si>
  <si>
    <t>1572-8099</t>
  </si>
  <si>
    <t>Fish Physiology and Biochemistry</t>
  </si>
  <si>
    <t>1573-5168</t>
  </si>
  <si>
    <t>Flexible Services and Manufacturing Journal</t>
  </si>
  <si>
    <t>1936-6590</t>
  </si>
  <si>
    <t>Fluid Dynamics</t>
  </si>
  <si>
    <t>1573-8507</t>
  </si>
  <si>
    <t>Foundations of Chemistry</t>
  </si>
  <si>
    <t>1572-8463</t>
  </si>
  <si>
    <t>Foundations of Science</t>
  </si>
  <si>
    <t>1572-8471</t>
  </si>
  <si>
    <t>Fuzzy Optimization and Decision Making</t>
  </si>
  <si>
    <t>1573-2908</t>
  </si>
  <si>
    <t>Foundations of Physics</t>
  </si>
  <si>
    <t>1572-9516</t>
  </si>
  <si>
    <t>Formal Methods in System Design</t>
  </si>
  <si>
    <t>1572-8102</t>
  </si>
  <si>
    <t>International Journal of Fracture</t>
  </si>
  <si>
    <t>1573-2673</t>
  </si>
  <si>
    <t>Nutrient Cycling in Agroecosystems</t>
  </si>
  <si>
    <t>1573-0867</t>
  </si>
  <si>
    <t>Geotechnical and Geological Engineering</t>
  </si>
  <si>
    <t>1573-1529</t>
  </si>
  <si>
    <t>GeoInformatica</t>
  </si>
  <si>
    <t>1573-7624</t>
  </si>
  <si>
    <t>GeoJournal</t>
  </si>
  <si>
    <t>1572-9893</t>
  </si>
  <si>
    <t>Genetica</t>
  </si>
  <si>
    <t>1573-6857</t>
  </si>
  <si>
    <t>Genetic Programming and Evolvable Machines</t>
  </si>
  <si>
    <t>1573-7632</t>
  </si>
  <si>
    <t>Geometriae Dedicata</t>
  </si>
  <si>
    <t>1572-9168</t>
  </si>
  <si>
    <t>Surveys in Geophysics</t>
  </si>
  <si>
    <t>1573-0956</t>
  </si>
  <si>
    <t>The GENEVA Risk and Insurance Review</t>
  </si>
  <si>
    <t>1554-9658</t>
  </si>
  <si>
    <t>General Relativity and Gravitation</t>
  </si>
  <si>
    <t>1572-9532</t>
  </si>
  <si>
    <t>Glycoconjugate Journal</t>
  </si>
  <si>
    <t>1573-4986</t>
  </si>
  <si>
    <t>Glass Physics and Chemistry</t>
  </si>
  <si>
    <t>1608-313X</t>
  </si>
  <si>
    <t>Genetic Resources and Crop Evolution</t>
  </si>
  <si>
    <t>1573-5109</t>
  </si>
  <si>
    <t>Journal of Grid Computing</t>
  </si>
  <si>
    <t>1572-9184</t>
  </si>
  <si>
    <t>Group Decision and Negotiation</t>
  </si>
  <si>
    <t>1572-9907</t>
  </si>
  <si>
    <t>Health Care Analysis</t>
  </si>
  <si>
    <t>1573-3394</t>
  </si>
  <si>
    <t>Health Care Management Science</t>
  </si>
  <si>
    <t>1572-9389</t>
  </si>
  <si>
    <t>HEC Forum</t>
  </si>
  <si>
    <t>1572-8498</t>
  </si>
  <si>
    <t>Journal of Heuristics</t>
  </si>
  <si>
    <t>1572-9397</t>
  </si>
  <si>
    <t>High Energy Chemistry</t>
  </si>
  <si>
    <t>1608-3148</t>
  </si>
  <si>
    <t>Higher Education</t>
  </si>
  <si>
    <t>1573-174X</t>
  </si>
  <si>
    <t>Journal of Molecular Histology</t>
  </si>
  <si>
    <t>1567-2387</t>
  </si>
  <si>
    <t>Journal of the History of Biology</t>
  </si>
  <si>
    <t>1573-0387</t>
  </si>
  <si>
    <t>High Temperature</t>
  </si>
  <si>
    <t>1608-3156</t>
  </si>
  <si>
    <t>Heart Failure Reviews</t>
  </si>
  <si>
    <t>1573-7322</t>
  </si>
  <si>
    <t>Health Services and Outcomes Research Methodology</t>
  </si>
  <si>
    <t>1572-9400</t>
  </si>
  <si>
    <t>Husserl Studies</t>
  </si>
  <si>
    <t>1572-8501</t>
  </si>
  <si>
    <t>Human Ecology</t>
  </si>
  <si>
    <t>1572-9915</t>
  </si>
  <si>
    <t>Human Studies</t>
  </si>
  <si>
    <t>1572-851X</t>
  </si>
  <si>
    <t>Human Physiology</t>
  </si>
  <si>
    <t>1608-3164</t>
  </si>
  <si>
    <t>Energy</t>
  </si>
  <si>
    <t>Hydrobiologia</t>
  </si>
  <si>
    <t>1573-5117</t>
  </si>
  <si>
    <t>Interactions</t>
  </si>
  <si>
    <t>3005-0731</t>
  </si>
  <si>
    <t>International Journal of Health Economics and Management</t>
  </si>
  <si>
    <t>2199-9031</t>
  </si>
  <si>
    <t>Innovative Higher Education</t>
  </si>
  <si>
    <t>1573-1758</t>
  </si>
  <si>
    <t>Technology, Knowledge and Learning</t>
  </si>
  <si>
    <t>2211-1670</t>
  </si>
  <si>
    <t>International Journal of Historical Archaeology</t>
  </si>
  <si>
    <t>1573-7748</t>
  </si>
  <si>
    <t>Journal of Infrared, Millimeter, and Terahertz Waves</t>
  </si>
  <si>
    <t>1866-6906</t>
  </si>
  <si>
    <t>International Journal of Science and Mathematics Education</t>
  </si>
  <si>
    <t>1573-1774</t>
  </si>
  <si>
    <t>International Journal of Primatology</t>
  </si>
  <si>
    <t>1573-8604</t>
  </si>
  <si>
    <t>International Journal of Thermophysics</t>
  </si>
  <si>
    <t>1572-9567</t>
  </si>
  <si>
    <t>International Journal of Parallel Programming</t>
  </si>
  <si>
    <t>1573-7640</t>
  </si>
  <si>
    <t>International Journal of Politics, Culture, and Society</t>
  </si>
  <si>
    <t>1573-3416</t>
  </si>
  <si>
    <t>International Journal of Speech Technology</t>
  </si>
  <si>
    <t>1572-8110</t>
  </si>
  <si>
    <t>International Journal of Theoretical Physics</t>
  </si>
  <si>
    <t>1572-9575</t>
  </si>
  <si>
    <t>International Journal for Educational and Vocational Guidance</t>
  </si>
  <si>
    <t>1573-1782</t>
  </si>
  <si>
    <t>International Journal of Wireless Information Networks</t>
  </si>
  <si>
    <t>1572-8129</t>
  </si>
  <si>
    <t>International Applied Mechanics</t>
  </si>
  <si>
    <t>1573-8582</t>
  </si>
  <si>
    <t>Interchange</t>
  </si>
  <si>
    <t>1573-1790</t>
  </si>
  <si>
    <t>Journal of Indian Philosophy</t>
  </si>
  <si>
    <t>1573-0395</t>
  </si>
  <si>
    <t>International Environmental Agreements: Politics, Law and Economics</t>
  </si>
  <si>
    <t>1573-1553</t>
  </si>
  <si>
    <t>Instruments and Experimental Techniques</t>
  </si>
  <si>
    <t>1608-3180</t>
  </si>
  <si>
    <t>Inflammopharmacology</t>
  </si>
  <si>
    <t>1568-5608</t>
  </si>
  <si>
    <t>Inorganic Materials</t>
  </si>
  <si>
    <t>1608-3172</t>
  </si>
  <si>
    <t>The Journal of Value Inquiry</t>
  </si>
  <si>
    <t>1573-0492</t>
  </si>
  <si>
    <t>International Ophthalmology</t>
  </si>
  <si>
    <t>1573-2630</t>
  </si>
  <si>
    <t>Information Systems Frontiers</t>
  </si>
  <si>
    <t>1572-9419</t>
  </si>
  <si>
    <t>International Tax and Public Finance</t>
  </si>
  <si>
    <t>1573-6970</t>
  </si>
  <si>
    <t>International Journal of Technology and Design Education</t>
  </si>
  <si>
    <t>1573-1804</t>
  </si>
  <si>
    <t>Information Technology and Management</t>
  </si>
  <si>
    <t>1573-7667</t>
  </si>
  <si>
    <t>Journal of Applied Electrochemistry</t>
  </si>
  <si>
    <t>1572-8838</t>
  </si>
  <si>
    <t>Journal of Algebraic Combinatorics</t>
  </si>
  <si>
    <t>1572-9192</t>
  </si>
  <si>
    <t>Research on Child and Adolescent Psychopathology</t>
  </si>
  <si>
    <t>2730-7174</t>
  </si>
  <si>
    <t>Journal of Autism and Developmental Disorders</t>
  </si>
  <si>
    <t>1573-3432</t>
  </si>
  <si>
    <t>Journal of Adult Development</t>
  </si>
  <si>
    <t>1573-3440</t>
  </si>
  <si>
    <t>Journal of Academic Ethics</t>
  </si>
  <si>
    <t>1572-8544</t>
  </si>
  <si>
    <t>Journal of Agricultural and Environmental Ethics</t>
  </si>
  <si>
    <t>1573-322X</t>
  </si>
  <si>
    <t>Journal of Applied Mechanics and Technical Physics</t>
  </si>
  <si>
    <t>1573-8620</t>
  </si>
  <si>
    <t>Journal of Analytical Chemistry</t>
  </si>
  <si>
    <t>1608-3199</t>
  </si>
  <si>
    <t>Journal of Applied Phycology</t>
  </si>
  <si>
    <t>1573-5176</t>
  </si>
  <si>
    <t>Journal of Archaeological Research</t>
  </si>
  <si>
    <t>1573-7756</t>
  </si>
  <si>
    <t>Journal of Assisted Reproduction and Genetics</t>
  </si>
  <si>
    <t>1573-7330</t>
  </si>
  <si>
    <t>Journal of Archaeological Method and Theory</t>
  </si>
  <si>
    <t>1573-7764</t>
  </si>
  <si>
    <t>Journal of Automated Reasoning</t>
  </si>
  <si>
    <t>1573-0670</t>
  </si>
  <si>
    <t>Journal of Computer-Aided Molecular Design</t>
  </si>
  <si>
    <t>1573-4951</t>
  </si>
  <si>
    <t>Journal of Cross-Cultural Gerontology</t>
  </si>
  <si>
    <t>1573-0719</t>
  </si>
  <si>
    <t>Journal of Cultural Economics</t>
  </si>
  <si>
    <t>1573-6997</t>
  </si>
  <si>
    <t>Journal of Computational Electronics</t>
  </si>
  <si>
    <t>1572-8137</t>
  </si>
  <si>
    <t>Journal of Child and Family Studies</t>
  </si>
  <si>
    <t>1573-2843</t>
  </si>
  <si>
    <t>Journal of Computational Neuroscience</t>
  </si>
  <si>
    <t>1573-6873</t>
  </si>
  <si>
    <t>Journal of East Asian Linguistics</t>
  </si>
  <si>
    <t>1572-8560</t>
  </si>
  <si>
    <t>Journal of Electroceramics</t>
  </si>
  <si>
    <t>1573-8663</t>
  </si>
  <si>
    <t>Journal of Educational Change</t>
  </si>
  <si>
    <t>1573-1812</t>
  </si>
  <si>
    <t>Journal of Family and Economic Issues</t>
  </si>
  <si>
    <t>1573-3475</t>
  </si>
  <si>
    <t>Jewish History</t>
  </si>
  <si>
    <t>1572-8579</t>
  </si>
  <si>
    <t>Journal of Electronic Testing</t>
  </si>
  <si>
    <t>1573-0727</t>
  </si>
  <si>
    <t>Journal for General Philosophy of Science</t>
  </si>
  <si>
    <t>1572-8587</t>
  </si>
  <si>
    <t>Journal of Interventional Cardiac Electrophysiology</t>
  </si>
  <si>
    <t>1572-8595</t>
  </si>
  <si>
    <t>Journal of Insect Conservation</t>
  </si>
  <si>
    <t>1572-9753</t>
  </si>
  <si>
    <t>Journal of Industry, Competition and Trade</t>
  </si>
  <si>
    <t>1573-7012</t>
  </si>
  <si>
    <t>Journal of International Entrepreneurship</t>
  </si>
  <si>
    <t>1573-7349</t>
  </si>
  <si>
    <t>Journal of Intelligent Information Systems</t>
  </si>
  <si>
    <t>1573-7675</t>
  </si>
  <si>
    <t>Journal of Intelligent Manufacturing</t>
  </si>
  <si>
    <t>1572-8145</t>
  </si>
  <si>
    <t>Journal of Inclusion Phenomena and Macrocyclic Chemistry</t>
  </si>
  <si>
    <t>1573-1111</t>
  </si>
  <si>
    <t>Journal of Logic, Language and Information</t>
  </si>
  <si>
    <t>1572-9583</t>
  </si>
  <si>
    <t>Journal of Mathematical Imaging and Vision</t>
  </si>
  <si>
    <t>1573-7683</t>
  </si>
  <si>
    <t>Journal of Materials Science</t>
  </si>
  <si>
    <t>1573-4803</t>
  </si>
  <si>
    <t>Journal of Materials Science: Materials in Electronics</t>
  </si>
  <si>
    <t>1573-482X</t>
  </si>
  <si>
    <t>Journal of Mathematics Teacher Education</t>
  </si>
  <si>
    <t>1573-1820</t>
  </si>
  <si>
    <t>Journal of Biomolecular NMR</t>
  </si>
  <si>
    <t>1573-5001</t>
  </si>
  <si>
    <t>Journal of Psychopathology and Behavioral Assessment</t>
  </si>
  <si>
    <t>1573-3505</t>
  </si>
  <si>
    <t>Journal of Bioenergetics and Biomembranes</t>
  </si>
  <si>
    <t>1573-6881</t>
  </si>
  <si>
    <t>Journal of Behavioral Education</t>
  </si>
  <si>
    <t>1573-3513</t>
  </si>
  <si>
    <t>Journal of Behavioral Medicine</t>
  </si>
  <si>
    <t>1573-3521</t>
  </si>
  <si>
    <t>Journal of Biological Physics</t>
  </si>
  <si>
    <t>1573-0689</t>
  </si>
  <si>
    <t>Journal of Business and Psychology</t>
  </si>
  <si>
    <t>1573-353X</t>
  </si>
  <si>
    <t>Journal of Chemical Crystallography</t>
  </si>
  <si>
    <t>1572-8854</t>
  </si>
  <si>
    <t>Journal of Oceanography</t>
  </si>
  <si>
    <t>1573-868X</t>
  </si>
  <si>
    <t>Journal of Atmospheric Chemistry</t>
  </si>
  <si>
    <t>1573-0662</t>
  </si>
  <si>
    <t>Journal of Cluster Science</t>
  </si>
  <si>
    <t>1572-8862</t>
  </si>
  <si>
    <t>Journal of Clinical Monitoring and Computing</t>
  </si>
  <si>
    <t>1573-2614</t>
  </si>
  <si>
    <t>Journal of Combinatorial Optimization</t>
  </si>
  <si>
    <t>1573-2886</t>
  </si>
  <si>
    <t>Journal of Contemporary Psychotherapy</t>
  </si>
  <si>
    <t>1573-3564</t>
  </si>
  <si>
    <t>Journal of Clinical Psychology in Medical Settings</t>
  </si>
  <si>
    <t>1573-3572</t>
  </si>
  <si>
    <t>Journal of Developmental and Physical Disabilities</t>
  </si>
  <si>
    <t>1573-3580</t>
  </si>
  <si>
    <t>Journal of Dynamical and Control Systems</t>
  </si>
  <si>
    <t>1573-8698</t>
  </si>
  <si>
    <t>Journal of Dynamics and Differential Equations</t>
  </si>
  <si>
    <t>1572-9222</t>
  </si>
  <si>
    <t>Journal of Chemical Ecology</t>
  </si>
  <si>
    <t>1573-1561</t>
  </si>
  <si>
    <t>Journal of Economic Growth</t>
  </si>
  <si>
    <t>1573-7020</t>
  </si>
  <si>
    <t>The Journal of Economic Inequality</t>
  </si>
  <si>
    <t>1573-8701</t>
  </si>
  <si>
    <t>The Journal of Ethics</t>
  </si>
  <si>
    <t>1572-8609</t>
  </si>
  <si>
    <t>Journal of Evolutionary Biochemistry and Physiology</t>
  </si>
  <si>
    <t>1608-3202</t>
  </si>
  <si>
    <t>Journal of Fusion Energy</t>
  </si>
  <si>
    <t>1572-9591</t>
  </si>
  <si>
    <t>Journal of Fluorescence</t>
  </si>
  <si>
    <t>1573-4994</t>
  </si>
  <si>
    <t>Journal of Family Violence</t>
  </si>
  <si>
    <t>1573-2851</t>
  </si>
  <si>
    <t>Journal of Global Optimization</t>
  </si>
  <si>
    <t>1573-2916</t>
  </si>
  <si>
    <t>Journal of Gambling Studies</t>
  </si>
  <si>
    <t>1573-3602</t>
  </si>
  <si>
    <t>Journal of Community Health</t>
  </si>
  <si>
    <t>1573-3610</t>
  </si>
  <si>
    <t>Journal of Housing and the Built Environment</t>
  </si>
  <si>
    <t>1573-7772</t>
  </si>
  <si>
    <t>Journal of Happiness Studies</t>
  </si>
  <si>
    <t>1573-7780</t>
  </si>
  <si>
    <t>Journal of Immigrant and Minority Health</t>
  </si>
  <si>
    <t>1557-1920</t>
  </si>
  <si>
    <t>Journal of Inorganic and Organometallic Polymers and Materials</t>
  </si>
  <si>
    <t>1574-1451</t>
  </si>
  <si>
    <t>Journal of Insect Behavior</t>
  </si>
  <si>
    <t>1572-8889</t>
  </si>
  <si>
    <t>Journal of Low Temperature Physics</t>
  </si>
  <si>
    <t>1573-7357</t>
  </si>
  <si>
    <t>Journal of Mathematical Chemistry</t>
  </si>
  <si>
    <t>1572-8897</t>
  </si>
  <si>
    <t>Journal of Medical Humanities</t>
  </si>
  <si>
    <t>1573-3645</t>
  </si>
  <si>
    <t>Journal of Mining Science</t>
  </si>
  <si>
    <t>1573-8736</t>
  </si>
  <si>
    <t>Journal of Mammalian Evolution</t>
  </si>
  <si>
    <t>1573-7055</t>
  </si>
  <si>
    <t>Journal of Scientific Computing</t>
  </si>
  <si>
    <t>1573-7691</t>
  </si>
  <si>
    <t>Journal of Medical Systems</t>
  </si>
  <si>
    <t>1573-689X</t>
  </si>
  <si>
    <t>Journal of Nonverbal Behavior</t>
  </si>
  <si>
    <t>1573-3653</t>
  </si>
  <si>
    <t>Journal of Nondestructive Evaluation</t>
  </si>
  <si>
    <t>1573-4862</t>
  </si>
  <si>
    <t>Journal of Network and Systems Management</t>
  </si>
  <si>
    <t>1573-7705</t>
  </si>
  <si>
    <t>Journal of Polymers and the Environment</t>
  </si>
  <si>
    <t>1572-8919</t>
  </si>
  <si>
    <t>Journal of Occupational Rehabilitation</t>
  </si>
  <si>
    <t>1573-3688</t>
  </si>
  <si>
    <t>Journal of Pharmacokinetics and Pharmacodynamics</t>
  </si>
  <si>
    <t>1573-8744</t>
  </si>
  <si>
    <t>The Protein Journal</t>
  </si>
  <si>
    <t>1875-8355</t>
  </si>
  <si>
    <t>Journal of Paleolimnology</t>
  </si>
  <si>
    <t>1573-0417</t>
  </si>
  <si>
    <t>Journal of Porous Materials</t>
  </si>
  <si>
    <t>1573-4854</t>
  </si>
  <si>
    <t>Journal of Prevention</t>
  </si>
  <si>
    <t>2731-5541</t>
  </si>
  <si>
    <t>Journal of Psycholinguistic Research</t>
  </si>
  <si>
    <t>1573-6555</t>
  </si>
  <si>
    <t>Journal of Quantitative Criminology</t>
  </si>
  <si>
    <t>1573-7799</t>
  </si>
  <si>
    <t>Journal of Rational-Emotive &amp; Cognitive-Behavior Therapy</t>
  </si>
  <si>
    <t>1573-6563</t>
  </si>
  <si>
    <t>Journal of Religion and Health</t>
  </si>
  <si>
    <t>1573-6571</t>
  </si>
  <si>
    <t>Journal of Russian Laser Research</t>
  </si>
  <si>
    <t>1573-8760</t>
  </si>
  <si>
    <t>Journal of Structural Chemistry</t>
  </si>
  <si>
    <t>1573-8779</t>
  </si>
  <si>
    <t>Journal of Superconductivity and Novel Magnetism</t>
  </si>
  <si>
    <t>1557-1947</t>
  </si>
  <si>
    <t>Journal of Seismology</t>
  </si>
  <si>
    <t>1573-157X</t>
  </si>
  <si>
    <t>Journal of Scheduling</t>
  </si>
  <si>
    <t>1099-1425</t>
  </si>
  <si>
    <t>Journal of Solution Chemistry</t>
  </si>
  <si>
    <t>1572-8927</t>
  </si>
  <si>
    <t>Journal of Statistical Physics</t>
  </si>
  <si>
    <t>1572-9613</t>
  </si>
  <si>
    <t>Journal of Science Education and Technology</t>
  </si>
  <si>
    <t>1573-1839</t>
  </si>
  <si>
    <t>Journal of Optimization Theory and Applications</t>
  </si>
  <si>
    <t>1573-2878</t>
  </si>
  <si>
    <t>Journal of Mathematical Sciences</t>
  </si>
  <si>
    <t>1573-8795</t>
  </si>
  <si>
    <t>Journal of Theoretical Probability</t>
  </si>
  <si>
    <t>1572-9230</t>
  </si>
  <si>
    <t>The Journal of Technology Transfer</t>
  </si>
  <si>
    <t>1573-7047</t>
  </si>
  <si>
    <t>Journal of World Prehistory</t>
  </si>
  <si>
    <t>1573-7802</t>
  </si>
  <si>
    <t>Journal of Youth and Adolescence</t>
  </si>
  <si>
    <t>1573-6601</t>
  </si>
  <si>
    <t>Journal of Polymer Research</t>
  </si>
  <si>
    <t>1572-8935</t>
  </si>
  <si>
    <t>Journal of Radioanalytical and Nuclear Chemistry</t>
  </si>
  <si>
    <t>1588-2780</t>
  </si>
  <si>
    <t>Journal of Sol-Gel Science and Technology</t>
  </si>
  <si>
    <t>1573-4846</t>
  </si>
  <si>
    <t>Journal of Thermal Analysis and Calorimetry</t>
  </si>
  <si>
    <t>1588-2926</t>
  </si>
  <si>
    <t>Journal of Muscle Research and Cell Motility</t>
  </si>
  <si>
    <t>1573-2657</t>
  </si>
  <si>
    <t>Kinetics and Catalysis</t>
  </si>
  <si>
    <t>1608-3210</t>
  </si>
  <si>
    <t>Law and Critique</t>
  </si>
  <si>
    <t>1572-8617</t>
  </si>
  <si>
    <t>Law and Philosophy</t>
  </si>
  <si>
    <t>1573-0522</t>
  </si>
  <si>
    <t>Learning Environments Research</t>
  </si>
  <si>
    <t>1573-1855</t>
  </si>
  <si>
    <t>Lifetime Data Analysis</t>
  </si>
  <si>
    <t>1572-9249</t>
  </si>
  <si>
    <t>Lithuanian Mathematical Journal</t>
  </si>
  <si>
    <t>1573-8825</t>
  </si>
  <si>
    <t>Lithology and Mineral Resources</t>
  </si>
  <si>
    <t>1608-3229</t>
  </si>
  <si>
    <t>Linguistics and Philosophy</t>
  </si>
  <si>
    <t>1573-0549</t>
  </si>
  <si>
    <t>International Journal of Peptide Research and Therapeutics</t>
  </si>
  <si>
    <t>1573-3904</t>
  </si>
  <si>
    <t>Liverpool Law Review</t>
  </si>
  <si>
    <t>1572-8625</t>
  </si>
  <si>
    <t>Journal of Philosophical Logic</t>
  </si>
  <si>
    <t>1573-0433</t>
  </si>
  <si>
    <t>Language Policy</t>
  </si>
  <si>
    <t>1573-1863</t>
  </si>
  <si>
    <t>Machine Learning</t>
  </si>
  <si>
    <t>1573-0565</t>
  </si>
  <si>
    <t>Maternal and Child Health Journal</t>
  </si>
  <si>
    <t>1573-6628</t>
  </si>
  <si>
    <t>Journal of Management and Governance</t>
  </si>
  <si>
    <t>1572-963X</t>
  </si>
  <si>
    <t>Periodica Mathematica Hungarica</t>
  </si>
  <si>
    <t>1588-2829</t>
  </si>
  <si>
    <t>International Journal of Mechanics and Materials in Design</t>
  </si>
  <si>
    <t>1573-8841</t>
  </si>
  <si>
    <t>Marine Geophysical Research</t>
  </si>
  <si>
    <t>1573-0581</t>
  </si>
  <si>
    <t>Marketing Letters</t>
  </si>
  <si>
    <t>1573-059X</t>
  </si>
  <si>
    <t>Mathematical Geosciences</t>
  </si>
  <si>
    <t>1874-8953</t>
  </si>
  <si>
    <t>Letters in Mathematical Physics</t>
  </si>
  <si>
    <t>1573-0530</t>
  </si>
  <si>
    <t>Mathematical Notes</t>
  </si>
  <si>
    <t>1573-8876</t>
  </si>
  <si>
    <t>Continental Philosophy Review</t>
  </si>
  <si>
    <t>1573-1103</t>
  </si>
  <si>
    <t>Molecular Biology</t>
  </si>
  <si>
    <t>1608-3245</t>
  </si>
  <si>
    <t>Methodology and Computing in Applied Probability</t>
  </si>
  <si>
    <t>1573-7713</t>
  </si>
  <si>
    <t>Molecular and Cellular Biochemistry</t>
  </si>
  <si>
    <t>1573-4919</t>
  </si>
  <si>
    <t>Metabolic Brain Disease</t>
  </si>
  <si>
    <t>1573-7365</t>
  </si>
  <si>
    <t>Meccanica</t>
  </si>
  <si>
    <t>1572-9648</t>
  </si>
  <si>
    <t>Culture, Medicine, and Psychiatry</t>
  </si>
  <si>
    <t>1573-076X</t>
  </si>
  <si>
    <t>Metascience</t>
  </si>
  <si>
    <t>1467-9981</t>
  </si>
  <si>
    <t>Theoretical Medicine and Bioethics</t>
  </si>
  <si>
    <t>1573-1200</t>
  </si>
  <si>
    <t>Medicine, Health Care and Philosophy</t>
  </si>
  <si>
    <t>1572-8633</t>
  </si>
  <si>
    <t>Microbiology</t>
  </si>
  <si>
    <t>1608-3237</t>
  </si>
  <si>
    <t>Minds and Machines</t>
  </si>
  <si>
    <t>1572-8641</t>
  </si>
  <si>
    <t>Minerva</t>
  </si>
  <si>
    <t>1573-1871</t>
  </si>
  <si>
    <t>Mitigation and Adaptation Strategies for Global Change</t>
  </si>
  <si>
    <t>1573-1596</t>
  </si>
  <si>
    <t>Molecular Diversity</t>
  </si>
  <si>
    <t>1573-501X</t>
  </si>
  <si>
    <t>Motivation and Emotion</t>
  </si>
  <si>
    <t>1573-6644</t>
  </si>
  <si>
    <t>Molecular Breeding</t>
  </si>
  <si>
    <t>1572-9788</t>
  </si>
  <si>
    <t>Molecular Biology Reports</t>
  </si>
  <si>
    <t>1573-4978</t>
  </si>
  <si>
    <t>Mobile Networks and Applications</t>
  </si>
  <si>
    <t>1572-8153</t>
  </si>
  <si>
    <t>Mathematical Physics, Analysis and Geometry</t>
  </si>
  <si>
    <t>1572-9656</t>
  </si>
  <si>
    <t>Multimedia Tools and Applications</t>
  </si>
  <si>
    <t>1573-7721</t>
  </si>
  <si>
    <t>Mechanics of Time-Dependent Materials</t>
  </si>
  <si>
    <t>1573-2738</t>
  </si>
  <si>
    <t>Multibody System Dynamics</t>
  </si>
  <si>
    <t>1573-272X</t>
  </si>
  <si>
    <t>Multidimensional Systems and Signal Processing</t>
  </si>
  <si>
    <t>1573-0824</t>
  </si>
  <si>
    <t>Mycopathologia</t>
  </si>
  <si>
    <t>1573-0832</t>
  </si>
  <si>
    <t>Natural Computing</t>
  </si>
  <si>
    <t>1572-9796</t>
  </si>
  <si>
    <t>Natural Language &amp; Linguistic Theory</t>
  </si>
  <si>
    <t>1573-0859</t>
  </si>
  <si>
    <t>Natural Language Semantics</t>
  </si>
  <si>
    <t>1572-865X</t>
  </si>
  <si>
    <t>Journal of Nanoparticle Research</t>
  </si>
  <si>
    <t>1572-896X</t>
  </si>
  <si>
    <t>Natural Resources Research</t>
  </si>
  <si>
    <t>1573-8981</t>
  </si>
  <si>
    <t>Neuroscience and Behavioral Physiology</t>
  </si>
  <si>
    <t>1573-899X</t>
  </si>
  <si>
    <t>New Forests</t>
  </si>
  <si>
    <t>1573-5095</t>
  </si>
  <si>
    <t>Neohelicon</t>
  </si>
  <si>
    <t>Literature</t>
  </si>
  <si>
    <t>1588-2810</t>
  </si>
  <si>
    <t>Journal of Neuro-Oncology</t>
  </si>
  <si>
    <t>1573-7373</t>
  </si>
  <si>
    <t>Neophilologus</t>
  </si>
  <si>
    <t>1572-8668</t>
  </si>
  <si>
    <t>Neurophysiology</t>
  </si>
  <si>
    <t>1573-9007</t>
  </si>
  <si>
    <t>Neurochemical Research</t>
  </si>
  <si>
    <t>1573-6903</t>
  </si>
  <si>
    <t>Neuropsychology Review</t>
  </si>
  <si>
    <t>1573-6660</t>
  </si>
  <si>
    <t>Networks and Spatial Economics</t>
  </si>
  <si>
    <t>1572-9427</t>
  </si>
  <si>
    <t>Natural Hazards</t>
  </si>
  <si>
    <t>1573-0840</t>
  </si>
  <si>
    <t>Nonlinear Dynamics</t>
  </si>
  <si>
    <t>1573-269X</t>
  </si>
  <si>
    <t>Numerical Algorithms</t>
  </si>
  <si>
    <t>1572-9265</t>
  </si>
  <si>
    <t>Policy Sciences</t>
  </si>
  <si>
    <t>1573-0891</t>
  </si>
  <si>
    <t>Open Economies Review</t>
  </si>
  <si>
    <t>1573-708X</t>
  </si>
  <si>
    <t>Optimization and Engineering</t>
  </si>
  <si>
    <t>1573-2924</t>
  </si>
  <si>
    <t>Optical and Quantum Electronics</t>
  </si>
  <si>
    <t>1572-817X</t>
  </si>
  <si>
    <t>Order</t>
  </si>
  <si>
    <t>1572-9273</t>
  </si>
  <si>
    <t>High Temperature Corrosion of Materials</t>
  </si>
  <si>
    <t>2731-8400</t>
  </si>
  <si>
    <t>Programming and Computer Software</t>
  </si>
  <si>
    <t>1608-3261</t>
  </si>
  <si>
    <t>Pastoral Psychology</t>
  </si>
  <si>
    <t>1573-6679</t>
  </si>
  <si>
    <t>Plasma Chemistry and Plasma Processing</t>
  </si>
  <si>
    <t>1572-8986</t>
  </si>
  <si>
    <t>Educational Assessment, Evaluation and Accountability</t>
  </si>
  <si>
    <t>1874-8600</t>
  </si>
  <si>
    <t>Pharmacy</t>
  </si>
  <si>
    <t>Pharmaceutical Research</t>
  </si>
  <si>
    <t>1573-904X</t>
  </si>
  <si>
    <t>International Journal of Clinical Pharmacy</t>
  </si>
  <si>
    <t>2210-7711</t>
  </si>
  <si>
    <t>Phenomenology and the Cognitive Sciences</t>
  </si>
  <si>
    <t>1572-8676</t>
  </si>
  <si>
    <t>Philosophical Studies</t>
  </si>
  <si>
    <t>1573-0883</t>
  </si>
  <si>
    <t>Phytochemistry Reviews</t>
  </si>
  <si>
    <t>1572-980X</t>
  </si>
  <si>
    <t>Pituitary</t>
  </si>
  <si>
    <t>1573-7403</t>
  </si>
  <si>
    <t>Plant Molecular Biology</t>
  </si>
  <si>
    <t>1573-5028</t>
  </si>
  <si>
    <t>Plant and Soil</t>
  </si>
  <si>
    <t>1573-5036</t>
  </si>
  <si>
    <t>Plant Molecular Biology Reporter</t>
  </si>
  <si>
    <t>1572-9818</t>
  </si>
  <si>
    <t>Powder Metallurgy and Metal Ceramics</t>
  </si>
  <si>
    <t>1573-9066</t>
  </si>
  <si>
    <t>Photonic Network Communications</t>
  </si>
  <si>
    <t>1572-8188</t>
  </si>
  <si>
    <t>Political Behavior</t>
  </si>
  <si>
    <t>1573-6687</t>
  </si>
  <si>
    <t>Population and Environment</t>
  </si>
  <si>
    <t>1573-7810</t>
  </si>
  <si>
    <t>Population Research and Policy Review</t>
  </si>
  <si>
    <t>1573-7829</t>
  </si>
  <si>
    <t>Public Organization Review</t>
  </si>
  <si>
    <t>1573-7098</t>
  </si>
  <si>
    <t>Transportation</t>
  </si>
  <si>
    <t>1572-9435</t>
  </si>
  <si>
    <t>Positivity</t>
  </si>
  <si>
    <t>1572-9281</t>
  </si>
  <si>
    <t>Potential Analysis</t>
  </si>
  <si>
    <t>1572-929X</t>
  </si>
  <si>
    <t>Precision Agriculture</t>
  </si>
  <si>
    <t>1573-1618</t>
  </si>
  <si>
    <t>Photosynthesis Research</t>
  </si>
  <si>
    <t>1573-5079</t>
  </si>
  <si>
    <t>Prevention Science</t>
  </si>
  <si>
    <t>1573-6695</t>
  </si>
  <si>
    <t>Problems of Information Transmission</t>
  </si>
  <si>
    <t>1608-3253</t>
  </si>
  <si>
    <t>Journal of Productivity Analysis</t>
  </si>
  <si>
    <t>1573-0441</t>
  </si>
  <si>
    <t>Protection of Metals and Physical Chemistry of Surfaces</t>
  </si>
  <si>
    <t>2070-206X</t>
  </si>
  <si>
    <t>Prospects</t>
  </si>
  <si>
    <t>1573-9090</t>
  </si>
  <si>
    <t>Psychiatric Quarterly</t>
  </si>
  <si>
    <t>1573-6709</t>
  </si>
  <si>
    <t>Public Choice</t>
  </si>
  <si>
    <t>1573-7101</t>
  </si>
  <si>
    <t>Quantum Information Processing</t>
  </si>
  <si>
    <t>1573-1332</t>
  </si>
  <si>
    <t>Quantitative Marketing and Economics</t>
  </si>
  <si>
    <t>1573-711X</t>
  </si>
  <si>
    <t>Plant Foods for Human Nutrition</t>
  </si>
  <si>
    <t>1573-9104</t>
  </si>
  <si>
    <t>Qualitative Sociology</t>
  </si>
  <si>
    <t>1573-7837</t>
  </si>
  <si>
    <t>Queueing Systems</t>
  </si>
  <si>
    <t>1572-9443</t>
  </si>
  <si>
    <t>Quality &amp; Quantity</t>
  </si>
  <si>
    <t>1573-7845</t>
  </si>
  <si>
    <t>Quality of Life Research</t>
  </si>
  <si>
    <t>1573-2649</t>
  </si>
  <si>
    <t>Radiochemistry</t>
  </si>
  <si>
    <t>1608-3288</t>
  </si>
  <si>
    <t>The Review of Austrian Economics</t>
  </si>
  <si>
    <t>1573-7128</t>
  </si>
  <si>
    <t>The Ramanujan Journal</t>
  </si>
  <si>
    <t>1572-9303</t>
  </si>
  <si>
    <t>Review of Accounting Studies</t>
  </si>
  <si>
    <t>1573-7136</t>
  </si>
  <si>
    <t>Reaction Kinetics, Mechanisms and Catalysis</t>
  </si>
  <si>
    <t>1878-5204</t>
  </si>
  <si>
    <t>Reading and Writing</t>
  </si>
  <si>
    <t>1573-0905</t>
  </si>
  <si>
    <t>The Journal of Real Estate Finance and Economics</t>
  </si>
  <si>
    <t>1573-045X</t>
  </si>
  <si>
    <t>Review of Derivatives Research</t>
  </si>
  <si>
    <t>1573-7144</t>
  </si>
  <si>
    <t>Journal of Regulatory Economics</t>
  </si>
  <si>
    <t>1573-0468</t>
  </si>
  <si>
    <t>Review of Economics of the Household</t>
  </si>
  <si>
    <t>1573-7152</t>
  </si>
  <si>
    <t>Review of Industrial Organization</t>
  </si>
  <si>
    <t>1573-7160</t>
  </si>
  <si>
    <t>International Journal for Philosophy of Religion</t>
  </si>
  <si>
    <t>1572-8684</t>
  </si>
  <si>
    <t>Reviews in Endocrine and Metabolic Disorders</t>
  </si>
  <si>
    <t>1573-2606</t>
  </si>
  <si>
    <t>Review of Quantitative Finance and Accounting</t>
  </si>
  <si>
    <t>1573-7179</t>
  </si>
  <si>
    <t>Reviews in Environmental Science and Bio/Technology</t>
  </si>
  <si>
    <t>1572-9826</t>
  </si>
  <si>
    <t>Res Publica</t>
  </si>
  <si>
    <t>1572-8692</t>
  </si>
  <si>
    <t>International Review of Education</t>
  </si>
  <si>
    <t>1573-0638</t>
  </si>
  <si>
    <t>Reviews in Fish Biology and Fisheries</t>
  </si>
  <si>
    <t>1573-5184</t>
  </si>
  <si>
    <t>Research in Higher Education</t>
  </si>
  <si>
    <t>1573-188X</t>
  </si>
  <si>
    <t>Research on Chemical Intermediates</t>
  </si>
  <si>
    <t>1568-5675</t>
  </si>
  <si>
    <t>Research in Science Education</t>
  </si>
  <si>
    <t>1573-1898</t>
  </si>
  <si>
    <t>Journal of Risk and Uncertainty</t>
  </si>
  <si>
    <t>1573-0476</t>
  </si>
  <si>
    <t>Russian Journal of Applied Chemistry</t>
  </si>
  <si>
    <t>1608-3296</t>
  </si>
  <si>
    <t>Russian Journal of Bioorganic Chemistry</t>
  </si>
  <si>
    <t>1608-330X</t>
  </si>
  <si>
    <t>Russian Journal of Coordination Chemistry</t>
  </si>
  <si>
    <t>1608-3318</t>
  </si>
  <si>
    <t>Russian Journal of Developmental Biology</t>
  </si>
  <si>
    <t>1608-3326</t>
  </si>
  <si>
    <t>Russian Journal of Electrochemistry</t>
  </si>
  <si>
    <t>1608-3342</t>
  </si>
  <si>
    <t>Russian Journal of General Chemistry</t>
  </si>
  <si>
    <t>1608-3350</t>
  </si>
  <si>
    <t>Russian Journal of Genetics</t>
  </si>
  <si>
    <t>1608-3369</t>
  </si>
  <si>
    <t>Russian Journal of Organic Chemistry</t>
  </si>
  <si>
    <t>1608-3393</t>
  </si>
  <si>
    <t>Russian Journal of Marine Biology</t>
  </si>
  <si>
    <t>1608-3377</t>
  </si>
  <si>
    <t>Russian Microelectronics</t>
  </si>
  <si>
    <t>1608-3415</t>
  </si>
  <si>
    <t>Russian Journal of Nondestructive Testing</t>
  </si>
  <si>
    <t>1608-3385</t>
  </si>
  <si>
    <t>Russian Physics Journal</t>
  </si>
  <si>
    <t>1573-9228</t>
  </si>
  <si>
    <t>Russian Journal of Plant Physiology</t>
  </si>
  <si>
    <t>1608-3407</t>
  </si>
  <si>
    <t>Russian Journal of Ecology</t>
  </si>
  <si>
    <t>1608-3334</t>
  </si>
  <si>
    <t>Russian Linguistics</t>
  </si>
  <si>
    <t>1572-8714</t>
  </si>
  <si>
    <t>Theory and Society</t>
  </si>
  <si>
    <t>1573-7853</t>
  </si>
  <si>
    <t>Small Business Economics</t>
  </si>
  <si>
    <t>1573-0913</t>
  </si>
  <si>
    <t>Science &amp; Education</t>
  </si>
  <si>
    <t>1573-1901</t>
  </si>
  <si>
    <t>Scientometrics</t>
  </si>
  <si>
    <t>1588-2861</t>
  </si>
  <si>
    <t>Sexuality and Disability</t>
  </si>
  <si>
    <t>1573-6717</t>
  </si>
  <si>
    <t>International Journal for the Semiotics of Law - Revue internationale de Sémiotique juridique</t>
  </si>
  <si>
    <t>1572-8722</t>
  </si>
  <si>
    <t>Sex Roles</t>
  </si>
  <si>
    <t>1573-2762</t>
  </si>
  <si>
    <t>Studia Geophysica et Geodaetica</t>
  </si>
  <si>
    <t>1573-1626</t>
  </si>
  <si>
    <t>Siberian Mathematical Journal</t>
  </si>
  <si>
    <t>1573-9260</t>
  </si>
  <si>
    <t>Statistical Inference for Stochastic Processes</t>
  </si>
  <si>
    <t>1572-9311</t>
  </si>
  <si>
    <t>Social Indicators Research</t>
  </si>
  <si>
    <t>1573-0921</t>
  </si>
  <si>
    <t>Solar Physics</t>
  </si>
  <si>
    <t>1573-093X</t>
  </si>
  <si>
    <t>Solar System Research</t>
  </si>
  <si>
    <t>1608-3423</t>
  </si>
  <si>
    <t>Social Justice Research</t>
  </si>
  <si>
    <t>1573-6725</t>
  </si>
  <si>
    <t>Studies in East European Thought</t>
  </si>
  <si>
    <t>1573-0948</t>
  </si>
  <si>
    <t>Systemic Practice and Action Research</t>
  </si>
  <si>
    <t>1573-9295</t>
  </si>
  <si>
    <t>Space Science Reviews</t>
  </si>
  <si>
    <t>1572-9672</t>
  </si>
  <si>
    <t>Studies in Philosophy and Education</t>
  </si>
  <si>
    <t>1573-191X</t>
  </si>
  <si>
    <t>Social Psychology of Education</t>
  </si>
  <si>
    <t>1573-1928</t>
  </si>
  <si>
    <t>Software Quality Journal</t>
  </si>
  <si>
    <t>1573-1367</t>
  </si>
  <si>
    <t>Sensing and Imaging</t>
  </si>
  <si>
    <t>1557-2072</t>
  </si>
  <si>
    <t>Statistics and Computing</t>
  </si>
  <si>
    <t>1573-1375</t>
  </si>
  <si>
    <t>Strength of Materials</t>
  </si>
  <si>
    <t>1573-9325</t>
  </si>
  <si>
    <t>Structural Chemistry</t>
  </si>
  <si>
    <t>1572-9001</t>
  </si>
  <si>
    <t>Studia Logica</t>
  </si>
  <si>
    <t>1572-8730</t>
  </si>
  <si>
    <t>The Journal of Supercomputing</t>
  </si>
  <si>
    <t>1573-0484</t>
  </si>
  <si>
    <t>Set-Valued and Variational Analysis</t>
  </si>
  <si>
    <t>1877-0541</t>
  </si>
  <si>
    <t>Synthese</t>
  </si>
  <si>
    <t>1573-0964</t>
  </si>
  <si>
    <t>Systematic Parasitology</t>
  </si>
  <si>
    <t>1573-5192</t>
  </si>
  <si>
    <t>Theoretical and Mathematical Physics</t>
  </si>
  <si>
    <t>1573-9333</t>
  </si>
  <si>
    <t>Tertiary Education and Management</t>
  </si>
  <si>
    <t>1573-1936</t>
  </si>
  <si>
    <t>Telecommunication Systems</t>
  </si>
  <si>
    <t>1572-9451</t>
  </si>
  <si>
    <t>Theoretical Foundations of Chemical Engineering</t>
  </si>
  <si>
    <t>1608-3431</t>
  </si>
  <si>
    <t>Theory and Decision</t>
  </si>
  <si>
    <t>1573-7187</t>
  </si>
  <si>
    <t>Journal of Thrombosis and Thrombolysis</t>
  </si>
  <si>
    <t>1573-742X</t>
  </si>
  <si>
    <t>Plant Cell, Tissue and Organ Culture (PCTOC)</t>
  </si>
  <si>
    <t>1573-5044</t>
  </si>
  <si>
    <t>Real-Time Systems</t>
  </si>
  <si>
    <t>1573-1383</t>
  </si>
  <si>
    <t>Transport in Porous Media</t>
  </si>
  <si>
    <t>1573-1634</t>
  </si>
  <si>
    <t>Transition Metal Chemistry</t>
  </si>
  <si>
    <t>1572-901X</t>
  </si>
  <si>
    <t>Topics in Catalysis</t>
  </si>
  <si>
    <t>1572-9028</t>
  </si>
  <si>
    <t>Topoi</t>
  </si>
  <si>
    <t>1572-8749</t>
  </si>
  <si>
    <t>Transgenic Research</t>
  </si>
  <si>
    <t>1573-9368</t>
  </si>
  <si>
    <t>Tribology Letters</t>
  </si>
  <si>
    <t>1573-2711</t>
  </si>
  <si>
    <t>Tropical Animal Health and Production</t>
  </si>
  <si>
    <t>1573-7438</t>
  </si>
  <si>
    <t>Instructional Science</t>
  </si>
  <si>
    <t>1573-1952</t>
  </si>
  <si>
    <t>Urban Ecosystems</t>
  </si>
  <si>
    <t>1573-1642</t>
  </si>
  <si>
    <t>Ukrainian Mathematical Journal</t>
  </si>
  <si>
    <t>1573-9376</t>
  </si>
  <si>
    <t>International Urology and Nephrology</t>
  </si>
  <si>
    <t>1573-2584</t>
  </si>
  <si>
    <t>The Urban Review</t>
  </si>
  <si>
    <t>1573-1960</t>
  </si>
  <si>
    <t>User Modeling and User-Adapted Interaction</t>
  </si>
  <si>
    <t>1573-1391</t>
  </si>
  <si>
    <t>Plant Ecology</t>
  </si>
  <si>
    <t>1573-5052</t>
  </si>
  <si>
    <t>Veterinary Research Communications</t>
  </si>
  <si>
    <t>1573-7446</t>
  </si>
  <si>
    <t>Virus Genes</t>
  </si>
  <si>
    <t>1572-994X</t>
  </si>
  <si>
    <t>International Journal of Computer Vision</t>
  </si>
  <si>
    <t>1573-1405</t>
  </si>
  <si>
    <t>Journal of Signal Processing Systems</t>
  </si>
  <si>
    <t>1939-8115</t>
  </si>
  <si>
    <t>VOLUNTAS: International Journal of Voluntary and Nonprofit Organizations</t>
  </si>
  <si>
    <t>1573-7888</t>
  </si>
  <si>
    <t>Water Resources</t>
  </si>
  <si>
    <t>1608-344X</t>
  </si>
  <si>
    <t>Water Resources Management</t>
  </si>
  <si>
    <t>1573-1650</t>
  </si>
  <si>
    <t>Water, Air, &amp; Soil Pollution</t>
  </si>
  <si>
    <t>1573-2932</t>
  </si>
  <si>
    <t>Wetlands Ecology and Management</t>
  </si>
  <si>
    <t>1572-9834</t>
  </si>
  <si>
    <t>World Journal of Microbiology and Biotechnology</t>
  </si>
  <si>
    <t>1573-0972</t>
  </si>
  <si>
    <t>Wireless Networks</t>
  </si>
  <si>
    <t>1572-8196</t>
  </si>
  <si>
    <t>Wireless Personal Communications</t>
  </si>
  <si>
    <t>1572-834X</t>
  </si>
  <si>
    <t>World Wide Web</t>
  </si>
  <si>
    <t>1573-1413</t>
  </si>
  <si>
    <t>Oral Radiology</t>
  </si>
  <si>
    <t>1613-9674</t>
  </si>
  <si>
    <t>Journal of Experimental Criminology</t>
  </si>
  <si>
    <t>1572-8315</t>
  </si>
  <si>
    <t>Atlantic Economic Journal</t>
  </si>
  <si>
    <t>1573-9678</t>
  </si>
  <si>
    <t>International Advances in Economic Research</t>
  </si>
  <si>
    <t>1573-966X</t>
  </si>
  <si>
    <t>Tree Genetics &amp; Genomes</t>
  </si>
  <si>
    <t>1614-2950</t>
  </si>
  <si>
    <t>Mind &amp; Society</t>
  </si>
  <si>
    <t>1860-1839</t>
  </si>
  <si>
    <t>Management Review Quarterly</t>
  </si>
  <si>
    <t>2198-1639</t>
  </si>
  <si>
    <t>Purinergic Signalling</t>
  </si>
  <si>
    <t>1573-9546</t>
  </si>
  <si>
    <t>Metabolomics</t>
  </si>
  <si>
    <t>1573-3890</t>
  </si>
  <si>
    <t>Molecular Imaging and Biology</t>
  </si>
  <si>
    <t>1860-2002</t>
  </si>
  <si>
    <t>Sleep and Breathing</t>
  </si>
  <si>
    <t>1522-1709</t>
  </si>
  <si>
    <t>Sport Sciences for Health</t>
  </si>
  <si>
    <t>1825-1234</t>
  </si>
  <si>
    <t>Innovations in Systems and Software Engineering</t>
  </si>
  <si>
    <t>1614-5054</t>
  </si>
  <si>
    <t>Experimental Mechanics</t>
  </si>
  <si>
    <t>1741-2765</t>
  </si>
  <si>
    <t>Landscape and Ecological Engineering</t>
  </si>
  <si>
    <t>1860-188X</t>
  </si>
  <si>
    <t>Environmental Science and Pollution Research</t>
  </si>
  <si>
    <t>1614-7499</t>
  </si>
  <si>
    <t>GeroScience</t>
  </si>
  <si>
    <t>2509-2723</t>
  </si>
  <si>
    <t>International Entrepreneurship and Management Journal</t>
  </si>
  <si>
    <t>1555-1938</t>
  </si>
  <si>
    <t>Journal of Chinese Political Science</t>
  </si>
  <si>
    <t>1874-6357</t>
  </si>
  <si>
    <t>The International Journal of Life Cycle Assessment</t>
  </si>
  <si>
    <t>1614-7502</t>
  </si>
  <si>
    <t>Journal of Soils and Sediments</t>
  </si>
  <si>
    <t>1614-7480</t>
  </si>
  <si>
    <t>Business Economics</t>
  </si>
  <si>
    <t>1554-432X</t>
  </si>
  <si>
    <t>Intelligent Service Robotics</t>
  </si>
  <si>
    <t>1861-2784</t>
  </si>
  <si>
    <t>Die Gastroenterologie</t>
  </si>
  <si>
    <t>2731-7439</t>
  </si>
  <si>
    <t>Journal of Computer Science and Technology</t>
  </si>
  <si>
    <t>1860-4749</t>
  </si>
  <si>
    <t>Chinese Annals of Mathematics, Series B</t>
  </si>
  <si>
    <t>1860-6261</t>
  </si>
  <si>
    <t>Journal of Economic Interaction and Coordination</t>
  </si>
  <si>
    <t>1860-7128</t>
  </si>
  <si>
    <t>Philosophia</t>
  </si>
  <si>
    <t>1574-9274</t>
  </si>
  <si>
    <t>International Journal of Hindu Studies</t>
  </si>
  <si>
    <t>Religious Studies</t>
  </si>
  <si>
    <t>1574-9282</t>
  </si>
  <si>
    <t>Financial Markets and Portfolio Management</t>
  </si>
  <si>
    <t>2373-8529</t>
  </si>
  <si>
    <t>Metacognition and Learning</t>
  </si>
  <si>
    <t>1556-1631</t>
  </si>
  <si>
    <t>International Journal of Computer-Supported Collaborative Learning</t>
  </si>
  <si>
    <t>1556-1615</t>
  </si>
  <si>
    <t>The Journal of Behavioral Health Services &amp; Research</t>
  </si>
  <si>
    <t>1556-3308</t>
  </si>
  <si>
    <t>Journal of Computer Virology and Hacking Techniques</t>
  </si>
  <si>
    <t>2263-8733</t>
  </si>
  <si>
    <t>Asian Journal of Criminology</t>
  </si>
  <si>
    <t>1871-014X</t>
  </si>
  <si>
    <t>Journal of Natural Medicines</t>
  </si>
  <si>
    <t>1861-0293</t>
  </si>
  <si>
    <t>Forensic Toxicology</t>
  </si>
  <si>
    <t>1860-8973</t>
  </si>
  <si>
    <t>Cultural Studies of Science Education</t>
  </si>
  <si>
    <t>1871-1510</t>
  </si>
  <si>
    <t>Educational Technology Research and Development</t>
  </si>
  <si>
    <t>1556-6501</t>
  </si>
  <si>
    <t>Journal of Systems Science and Complexity</t>
  </si>
  <si>
    <t>1559-7067</t>
  </si>
  <si>
    <t>Science China Mathematics</t>
  </si>
  <si>
    <t>1869-1862</t>
  </si>
  <si>
    <t>Science China Chemistry</t>
  </si>
  <si>
    <t>1869-1870</t>
  </si>
  <si>
    <t>Science China Life Sciences</t>
  </si>
  <si>
    <t>1869-1889</t>
  </si>
  <si>
    <t>Die Diabetologie</t>
  </si>
  <si>
    <t>2731-7455</t>
  </si>
  <si>
    <t>Science China Earth Sciences</t>
  </si>
  <si>
    <t>1869-1897</t>
  </si>
  <si>
    <t>Science China Technological Sciences</t>
  </si>
  <si>
    <t>1869-1900</t>
  </si>
  <si>
    <t>Science China Information Sciences</t>
  </si>
  <si>
    <t>1869-1919</t>
  </si>
  <si>
    <t>Science China Physics, Mechanics &amp; Astronomy</t>
  </si>
  <si>
    <t>1869-1927</t>
  </si>
  <si>
    <t>Biophysics</t>
  </si>
  <si>
    <t>1555-6654</t>
  </si>
  <si>
    <t>Acta Geotechnica</t>
  </si>
  <si>
    <t>1861-1133</t>
  </si>
  <si>
    <t>Acoustical Physics</t>
  </si>
  <si>
    <t>1562-6865</t>
  </si>
  <si>
    <t>Journal of Geographical Sciences</t>
  </si>
  <si>
    <t>1861-9568</t>
  </si>
  <si>
    <t>Astronomy Letters</t>
  </si>
  <si>
    <t>1562-6873</t>
  </si>
  <si>
    <t>Astronomy Reports</t>
  </si>
  <si>
    <t>1562-6881</t>
  </si>
  <si>
    <t>Crystallography Reports</t>
  </si>
  <si>
    <t>1562-689X</t>
  </si>
  <si>
    <t>Doklady Physics</t>
  </si>
  <si>
    <t>1562-6903</t>
  </si>
  <si>
    <t>Journal of Experimental and Theoretical Physics</t>
  </si>
  <si>
    <t>1090-6509</t>
  </si>
  <si>
    <t>JETP Letters</t>
  </si>
  <si>
    <t>1090-6487</t>
  </si>
  <si>
    <t>Optics and Spectroscopy</t>
  </si>
  <si>
    <t>1562-6911</t>
  </si>
  <si>
    <t>Physics of Atomic Nuclei</t>
  </si>
  <si>
    <t>1562-692X</t>
  </si>
  <si>
    <t>Physics of the Solid State</t>
  </si>
  <si>
    <t>1090-6460</t>
  </si>
  <si>
    <t>Plasma Physics Reports</t>
  </si>
  <si>
    <t>1562-6938</t>
  </si>
  <si>
    <t>Semiconductors</t>
  </si>
  <si>
    <t>1090-6479</t>
  </si>
  <si>
    <t>Technical Physics</t>
  </si>
  <si>
    <t>1090-6525</t>
  </si>
  <si>
    <t>Technical Physics Letters</t>
  </si>
  <si>
    <t>1090-6533</t>
  </si>
  <si>
    <t>Journal of Maritime Archaeology</t>
  </si>
  <si>
    <t>1557-2293</t>
  </si>
  <si>
    <t>Frontiers of Mechanical Engineering</t>
  </si>
  <si>
    <t>2095-0241</t>
  </si>
  <si>
    <t>Plasmonics</t>
  </si>
  <si>
    <t>1557-1963</t>
  </si>
  <si>
    <t>International Journal of Mental Health and Addiction</t>
  </si>
  <si>
    <t>1557-1882</t>
  </si>
  <si>
    <t>Computational Mathematics and Mathematical Physics</t>
  </si>
  <si>
    <t>1555-6662</t>
  </si>
  <si>
    <t>Doklady Earth Sciences</t>
  </si>
  <si>
    <t>1531-8354</t>
  </si>
  <si>
    <t>Doklady Mathematics</t>
  </si>
  <si>
    <t>1531-8362</t>
  </si>
  <si>
    <t>Entomological Review</t>
  </si>
  <si>
    <t>1555-6689</t>
  </si>
  <si>
    <t>Eurasian Soil Science</t>
  </si>
  <si>
    <t>1556-195X</t>
  </si>
  <si>
    <t>Geochemistry International</t>
  </si>
  <si>
    <t>1556-1968</t>
  </si>
  <si>
    <t>Geology of Ore Deposits</t>
  </si>
  <si>
    <t>1555-6476</t>
  </si>
  <si>
    <t>Geomagnetism and Aeronomy</t>
  </si>
  <si>
    <t>1555-645X</t>
  </si>
  <si>
    <t>Geotectonics</t>
  </si>
  <si>
    <t>1556-1976</t>
  </si>
  <si>
    <t>Herald of the Russian Academy of Sciences</t>
  </si>
  <si>
    <t>1555-6492</t>
  </si>
  <si>
    <t>Journal of NeuroImmune Pharmacology</t>
  </si>
  <si>
    <t>1557-1904</t>
  </si>
  <si>
    <t>Applied Research in Quality of Life</t>
  </si>
  <si>
    <t>1871-2576</t>
  </si>
  <si>
    <t>Food Biophysics</t>
  </si>
  <si>
    <t>1557-1866</t>
  </si>
  <si>
    <t>Izvestiya, Atmospheric and Oceanic Physics</t>
  </si>
  <si>
    <t>1555-628X</t>
  </si>
  <si>
    <t>Izvestiya, Physics of the Solid Earth</t>
  </si>
  <si>
    <t>1555-6506</t>
  </si>
  <si>
    <t>Journal of Communications Technology and Electronics</t>
  </si>
  <si>
    <t>1555-6557</t>
  </si>
  <si>
    <t>Journal of Computer and Systems Sciences International</t>
  </si>
  <si>
    <t>1555-6530</t>
  </si>
  <si>
    <t>Journal of Ichthyology</t>
  </si>
  <si>
    <t>1555-6425</t>
  </si>
  <si>
    <t>Oceanology</t>
  </si>
  <si>
    <t>1531-8508</t>
  </si>
  <si>
    <t>Paleontological Journal</t>
  </si>
  <si>
    <t>1555-6174</t>
  </si>
  <si>
    <t>Pattern Recognition and Image Analysis</t>
  </si>
  <si>
    <t>1555-6212</t>
  </si>
  <si>
    <t>Petroleum Chemistry</t>
  </si>
  <si>
    <t>1555-6239</t>
  </si>
  <si>
    <t>Petrology</t>
  </si>
  <si>
    <t>1556-2085</t>
  </si>
  <si>
    <t>Physics of Particles and Nuclei</t>
  </si>
  <si>
    <t>1531-8559</t>
  </si>
  <si>
    <t>Physics of Particles and Nuclei Letters</t>
  </si>
  <si>
    <t>1531-8567</t>
  </si>
  <si>
    <t>Polymer Science, Series A</t>
  </si>
  <si>
    <t>1555-6107</t>
  </si>
  <si>
    <t>Polymer Science, Series B</t>
  </si>
  <si>
    <t>1555-6123</t>
  </si>
  <si>
    <t>Polymer Science, Series C</t>
  </si>
  <si>
    <t>1555-614X</t>
  </si>
  <si>
    <t>Proceedings of the Steklov Institute of Mathematics</t>
  </si>
  <si>
    <t>1531-8605</t>
  </si>
  <si>
    <t>Russian Journal of Inorganic Chemistry</t>
  </si>
  <si>
    <t>1531-8613</t>
  </si>
  <si>
    <t>Russian Journal of Mathematical Physics</t>
  </si>
  <si>
    <t>1555-6638</t>
  </si>
  <si>
    <t>Russian Journal of Physical Chemistry A</t>
  </si>
  <si>
    <t>1531-863X</t>
  </si>
  <si>
    <t>Russian Metallurgy (Metally)</t>
  </si>
  <si>
    <t>1555-6255</t>
  </si>
  <si>
    <t>Stratigraphy and Geological Correlation</t>
  </si>
  <si>
    <t>1555-6263</t>
  </si>
  <si>
    <t>Studies on Russian Economic Development</t>
  </si>
  <si>
    <t>1531-8664</t>
  </si>
  <si>
    <t>Physics of Metals and Metallography</t>
  </si>
  <si>
    <t>1555-6190</t>
  </si>
  <si>
    <t>Thermal Engineering</t>
  </si>
  <si>
    <t>1555-6301</t>
  </si>
  <si>
    <t>Thermophysics and Aeromechanics</t>
  </si>
  <si>
    <t>1531-8699</t>
  </si>
  <si>
    <t>Medical &amp; Biological Engineering &amp; Computing</t>
  </si>
  <si>
    <t>1741-0444</t>
  </si>
  <si>
    <t>Journal of Systems Science and Systems Engineering</t>
  </si>
  <si>
    <t>1861-9576</t>
  </si>
  <si>
    <t>Targeted Oncology</t>
  </si>
  <si>
    <t>1776-260X</t>
  </si>
  <si>
    <t>Journal of Urban Health</t>
  </si>
  <si>
    <t>1468-2869</t>
  </si>
  <si>
    <t>Morphology</t>
  </si>
  <si>
    <t>1871-5656</t>
  </si>
  <si>
    <t>Materials and Structures</t>
  </si>
  <si>
    <t>1871-6873</t>
  </si>
  <si>
    <t>TechTrends</t>
  </si>
  <si>
    <t>1559-7075</t>
  </si>
  <si>
    <t>Bulletin of Mathematical Biology</t>
  </si>
  <si>
    <t>1522-9602</t>
  </si>
  <si>
    <t>Potato Research</t>
  </si>
  <si>
    <t>1871-4528</t>
  </si>
  <si>
    <t>La Radiologia Medica</t>
  </si>
  <si>
    <t>1826-6983</t>
  </si>
  <si>
    <t>International Journal of Computer Assisted Radiology and Surgery</t>
  </si>
  <si>
    <t>1861-6429</t>
  </si>
  <si>
    <t>Prävention und Gesundheitsförderung</t>
  </si>
  <si>
    <t>1861-6763</t>
  </si>
  <si>
    <t>Journal of Real-Time Image Processing</t>
  </si>
  <si>
    <t>1861-8219</t>
  </si>
  <si>
    <t>Mycological Progress</t>
  </si>
  <si>
    <t>1861-8952</t>
  </si>
  <si>
    <t>The Review of International Organizations</t>
  </si>
  <si>
    <t>1559-744X</t>
  </si>
  <si>
    <t>Die Nephrologie</t>
  </si>
  <si>
    <t>2731-7471</t>
  </si>
  <si>
    <t>Contemporary Islam</t>
  </si>
  <si>
    <t>1872-0226</t>
  </si>
  <si>
    <t>ANNALI DELL'UNIVERSITA' DI FERRARA</t>
  </si>
  <si>
    <t>1827-1510</t>
  </si>
  <si>
    <t>Cognitive Neurodynamics</t>
  </si>
  <si>
    <t>1871-4099</t>
  </si>
  <si>
    <t>Criminal Law and Philosophy</t>
  </si>
  <si>
    <t>1871-9805</t>
  </si>
  <si>
    <t>Journal of Business Economics</t>
  </si>
  <si>
    <t>1861-8928</t>
  </si>
  <si>
    <t>Management International Review</t>
  </si>
  <si>
    <t>1861-8901</t>
  </si>
  <si>
    <t>KZfSS Kölner Zeitschrift für Soziologie und Sozialpsychologie</t>
  </si>
  <si>
    <t>1861-891X</t>
  </si>
  <si>
    <t>Mathematics and Financial Economics</t>
  </si>
  <si>
    <t>1862-9660</t>
  </si>
  <si>
    <t>Ionics</t>
  </si>
  <si>
    <t>1862-0760</t>
  </si>
  <si>
    <t>Journal of Zhejiang University-SCIENCE A</t>
  </si>
  <si>
    <t>1862-1775</t>
  </si>
  <si>
    <t>Journal of Zhejiang University-SCIENCE B</t>
  </si>
  <si>
    <t>1862-1783</t>
  </si>
  <si>
    <t>Ricerche di Matematica</t>
  </si>
  <si>
    <t>1827-3491</t>
  </si>
  <si>
    <t>Optimization Letters</t>
  </si>
  <si>
    <t>1862-4480</t>
  </si>
  <si>
    <t>Journal of Wuhan University of Technology-Mater. Sci. Ed.</t>
  </si>
  <si>
    <t>1993-0437</t>
  </si>
  <si>
    <t>Current Medical Science</t>
  </si>
  <si>
    <t>2523-899X</t>
  </si>
  <si>
    <t>Acta Geophysica</t>
  </si>
  <si>
    <t>1895-7455</t>
  </si>
  <si>
    <t>Japanese Journal of Radiology</t>
  </si>
  <si>
    <t>1867-108X</t>
  </si>
  <si>
    <t>Journal of General Internal Medicine</t>
  </si>
  <si>
    <t>1525-1497</t>
  </si>
  <si>
    <t>Berliner Journal für Soziologie</t>
  </si>
  <si>
    <t>1862-2593</t>
  </si>
  <si>
    <t>Gruppe. Interaktion. Organisation. Zeitschrift für Angewandte Organisationspsychologie (GIO)</t>
  </si>
  <si>
    <t>2366-6218</t>
  </si>
  <si>
    <t>Organisationsberatung, Supervision, Coaching</t>
  </si>
  <si>
    <t>1862-2577</t>
  </si>
  <si>
    <t>Österreichische Zeitschrift für Soziologie</t>
  </si>
  <si>
    <t>1862-2585</t>
  </si>
  <si>
    <t>Politische Vierteljahresschrift</t>
  </si>
  <si>
    <t>1862-2860</t>
  </si>
  <si>
    <t>Publizistik</t>
  </si>
  <si>
    <t>1862-2569</t>
  </si>
  <si>
    <t>Zeitschrift für Erziehungswissenschaft</t>
  </si>
  <si>
    <t>1862-5215</t>
  </si>
  <si>
    <t>Zeitschrift für Psychodrama und Soziometrie</t>
  </si>
  <si>
    <t>1862-2526</t>
  </si>
  <si>
    <t>Datenschutz und Datensicherheit - DuD</t>
  </si>
  <si>
    <t>1862-2607</t>
  </si>
  <si>
    <t>Sustainability Science</t>
  </si>
  <si>
    <t>1862-4057</t>
  </si>
  <si>
    <t>In Vitro Cellular &amp; Developmental Biology - Animal</t>
  </si>
  <si>
    <t>1543-706X</t>
  </si>
  <si>
    <t>In Vitro Cellular &amp; Developmental Biology - Plant</t>
  </si>
  <si>
    <t>1475-2689</t>
  </si>
  <si>
    <t>Service Business</t>
  </si>
  <si>
    <t>1862-8508</t>
  </si>
  <si>
    <t>Journal of Mountain Science</t>
  </si>
  <si>
    <t>1993-0321</t>
  </si>
  <si>
    <t>Journal of Thermal Science</t>
  </si>
  <si>
    <t>1993-033X</t>
  </si>
  <si>
    <t>Acta Geochimica</t>
  </si>
  <si>
    <t>2365-7499</t>
  </si>
  <si>
    <t>Machine Intelligence Research</t>
  </si>
  <si>
    <t>2731-5398</t>
  </si>
  <si>
    <t>Advances in Data Analysis and Classification</t>
  </si>
  <si>
    <t>1862-5355</t>
  </si>
  <si>
    <t>Chinese Journal of Integrative Medicine</t>
  </si>
  <si>
    <t>1993-0402</t>
  </si>
  <si>
    <t>Archives of Osteoporosis</t>
  </si>
  <si>
    <t>1862-3514</t>
  </si>
  <si>
    <t>Metallurgical and Materials Transactions A</t>
  </si>
  <si>
    <t>1543-1940</t>
  </si>
  <si>
    <t>Metallurgical and Materials Transactions B</t>
  </si>
  <si>
    <t>1543-1916</t>
  </si>
  <si>
    <t>Journal of Electronic Materials</t>
  </si>
  <si>
    <t>1543-186X</t>
  </si>
  <si>
    <t>Journal of Materials Engineering and Performance</t>
  </si>
  <si>
    <t>1544-1024</t>
  </si>
  <si>
    <t>Journal of Thermal Spray Technology</t>
  </si>
  <si>
    <t>1544-1016</t>
  </si>
  <si>
    <t>Journal of Failure Analysis and Prevention</t>
  </si>
  <si>
    <t>1864-1245</t>
  </si>
  <si>
    <t>Journal of Phase Equilibria and Diffusion</t>
  </si>
  <si>
    <t>1863-7345</t>
  </si>
  <si>
    <t>Journal of Bioethical Inquiry</t>
  </si>
  <si>
    <t>1872-4353</t>
  </si>
  <si>
    <t>Journal of Forestry Research</t>
  </si>
  <si>
    <t>1993-0607</t>
  </si>
  <si>
    <t>Obere Extremität</t>
  </si>
  <si>
    <t>1862-6602</t>
  </si>
  <si>
    <t>Brain Imaging and Behavior</t>
  </si>
  <si>
    <t>1931-7565</t>
  </si>
  <si>
    <t>Frontiers of Medicine</t>
  </si>
  <si>
    <t>2095-0225</t>
  </si>
  <si>
    <t>Acta Parasitologica</t>
  </si>
  <si>
    <t>1896-1851</t>
  </si>
  <si>
    <t>Evolutionary Biology</t>
  </si>
  <si>
    <t>1934-2845</t>
  </si>
  <si>
    <t>Journal of Food Measurement and Characterization</t>
  </si>
  <si>
    <t>2193-4134</t>
  </si>
  <si>
    <t>Obesity Surgery</t>
  </si>
  <si>
    <t>1708-0428</t>
  </si>
  <si>
    <t>Chemical Papers</t>
  </si>
  <si>
    <t>2585-7290</t>
  </si>
  <si>
    <t>Cliometrica</t>
  </si>
  <si>
    <t>1863-2513</t>
  </si>
  <si>
    <t>Journal of Surface Investigation: X-ray, Synchrotron and Neutron Techniques</t>
  </si>
  <si>
    <t>1819-7094</t>
  </si>
  <si>
    <t>Journal of Robotic Surgery</t>
  </si>
  <si>
    <t>1863-2491</t>
  </si>
  <si>
    <t>Frontiers of Computer Science</t>
  </si>
  <si>
    <t>2095-2236</t>
  </si>
  <si>
    <t>Frontiers of Chemical Science and Engineering</t>
  </si>
  <si>
    <t>2095-0187</t>
  </si>
  <si>
    <t>Frontiers of Materials Science</t>
  </si>
  <si>
    <t>2095-0268</t>
  </si>
  <si>
    <t>Frontiers of Earth Science</t>
  </si>
  <si>
    <t>2095-0209</t>
  </si>
  <si>
    <t>Frontiers in Energy</t>
  </si>
  <si>
    <t>2095-1698</t>
  </si>
  <si>
    <t>Frontiers of Structural and Civil Engineering</t>
  </si>
  <si>
    <t>2095-2449</t>
  </si>
  <si>
    <t>Neurochemical Journal</t>
  </si>
  <si>
    <t>1819-7132</t>
  </si>
  <si>
    <t>Journal of Volcanology and Seismology</t>
  </si>
  <si>
    <t>1819-7108</t>
  </si>
  <si>
    <t>Dao</t>
  </si>
  <si>
    <t>1569-7274</t>
  </si>
  <si>
    <t>Frontiers of Information Technology &amp; Electronic Engineering</t>
  </si>
  <si>
    <t>2095-9230</t>
  </si>
  <si>
    <t>Russian Journal of Pacific Geology</t>
  </si>
  <si>
    <t>1819-7159</t>
  </si>
  <si>
    <t>Swarm Intelligence</t>
  </si>
  <si>
    <t>1935-3820</t>
  </si>
  <si>
    <t>Journal of Acupuncture and Tuina Science</t>
  </si>
  <si>
    <t>1993-0399</t>
  </si>
  <si>
    <t>The European Physical Journal Special Topics</t>
  </si>
  <si>
    <t>1951-6401</t>
  </si>
  <si>
    <t>Acta Physiologiae Plantarum</t>
  </si>
  <si>
    <t>1861-1664</t>
  </si>
  <si>
    <t>Internal and Emergency Medicine</t>
  </si>
  <si>
    <t>1970-9366</t>
  </si>
  <si>
    <t>Production Engineering</t>
  </si>
  <si>
    <t>1863-7353</t>
  </si>
  <si>
    <t>Journal of the Academy of Marketing Science</t>
  </si>
  <si>
    <t>1552-7824</t>
  </si>
  <si>
    <t>General Thoracic and Cardiovascular Surgery</t>
  </si>
  <si>
    <t>1863-6713</t>
  </si>
  <si>
    <t>Test</t>
  </si>
  <si>
    <t>1863-8260</t>
  </si>
  <si>
    <t>TOP</t>
  </si>
  <si>
    <t>1863-8279</t>
  </si>
  <si>
    <t>Journal of Applied and Industrial Mathematics</t>
  </si>
  <si>
    <t>1990-4797</t>
  </si>
  <si>
    <t>Astrophysical Bulletin</t>
  </si>
  <si>
    <t>1990-3421</t>
  </si>
  <si>
    <t>Biologia</t>
  </si>
  <si>
    <t>1336-9563</t>
  </si>
  <si>
    <t>Forensische Psychiatrie, Psychologie, Kriminologie</t>
  </si>
  <si>
    <t>1862-7080</t>
  </si>
  <si>
    <t>Archaeologies</t>
  </si>
  <si>
    <t>1935-3987</t>
  </si>
  <si>
    <t>Signal, Image and Video Processing</t>
  </si>
  <si>
    <t>1863-1711</t>
  </si>
  <si>
    <t>Service Oriented Computing and Applications</t>
  </si>
  <si>
    <t>1863-2394</t>
  </si>
  <si>
    <t>Journal of Cancer Survivorship</t>
  </si>
  <si>
    <t>1932-2267</t>
  </si>
  <si>
    <t>Applied Mathematics-A Journal of Chinese Universities</t>
  </si>
  <si>
    <t>1993-0445</t>
  </si>
  <si>
    <t>Control Theory and Technology</t>
  </si>
  <si>
    <t>2198-0942</t>
  </si>
  <si>
    <t>Chinese Geographical Science</t>
  </si>
  <si>
    <t>1993-064X</t>
  </si>
  <si>
    <t>Applied Geophysics</t>
  </si>
  <si>
    <t>1993-0658</t>
  </si>
  <si>
    <t>Journal of Central South University</t>
  </si>
  <si>
    <t>2227-5223</t>
  </si>
  <si>
    <t>Frontiers of Environmental Science &amp; Engineering</t>
  </si>
  <si>
    <t>2095-221X</t>
  </si>
  <si>
    <t>Journal of Fixed Point Theory and Applications</t>
  </si>
  <si>
    <t>1661-7746</t>
  </si>
  <si>
    <t>Complex Analysis and Operator Theory</t>
  </si>
  <si>
    <t>1661-8262</t>
  </si>
  <si>
    <t>Mathematics in Computer Science</t>
  </si>
  <si>
    <t>1661-8289</t>
  </si>
  <si>
    <t>Logica Universalis</t>
  </si>
  <si>
    <t>1661-8300</t>
  </si>
  <si>
    <t>Clinical Research in Cardiology Supplements</t>
  </si>
  <si>
    <t>1861-0714</t>
  </si>
  <si>
    <t>Optoelectronics Letters</t>
  </si>
  <si>
    <t>1993-5013</t>
  </si>
  <si>
    <t>Journal of Ocean University of China</t>
  </si>
  <si>
    <t>1993-5021</t>
  </si>
  <si>
    <t>Earthquake Engineering and Engineering Vibration</t>
  </si>
  <si>
    <t>1993-503X</t>
  </si>
  <si>
    <t>Journal of Marine Science and Application</t>
  </si>
  <si>
    <t>1993-5048</t>
  </si>
  <si>
    <t>Korean Journal of Chemical Engineering</t>
  </si>
  <si>
    <t>1975-7220</t>
  </si>
  <si>
    <t>Plant Biotechnology Reports</t>
  </si>
  <si>
    <t>1863-5474</t>
  </si>
  <si>
    <t>Somnologie</t>
  </si>
  <si>
    <t>1439-054X</t>
  </si>
  <si>
    <t>Regular and Chaotic Dynamics</t>
  </si>
  <si>
    <t>1468-4845</t>
  </si>
  <si>
    <t>Cell and Tissue Biology</t>
  </si>
  <si>
    <t>1990-5203</t>
  </si>
  <si>
    <t>Journal of Engineering Thermophysics</t>
  </si>
  <si>
    <t>1990-5432</t>
  </si>
  <si>
    <t>Russian Journal of Physical Chemistry B</t>
  </si>
  <si>
    <t>1990-7923</t>
  </si>
  <si>
    <t>Biochemistry (Moscow), Supplement Series A: Membrane and Cell Biology</t>
  </si>
  <si>
    <t>1990-7494</t>
  </si>
  <si>
    <t>Biochemistry (Moscow), Supplement Series B: Biomedical Chemistry</t>
  </si>
  <si>
    <t>1990-7516</t>
  </si>
  <si>
    <t>Arthropod-Plant Interactions</t>
  </si>
  <si>
    <t>1872-8847</t>
  </si>
  <si>
    <t>Archives of Computational Methods in Engineering</t>
  </si>
  <si>
    <t>1886-1784</t>
  </si>
  <si>
    <t>JOM</t>
  </si>
  <si>
    <t>1543-1851</t>
  </si>
  <si>
    <t>Sophia</t>
  </si>
  <si>
    <t>1873-930X</t>
  </si>
  <si>
    <t>Small-Scale Forestry</t>
  </si>
  <si>
    <t>1873-7854</t>
  </si>
  <si>
    <t>Irish Journal of Medical Science (1971 -)</t>
  </si>
  <si>
    <t>1863-4362</t>
  </si>
  <si>
    <t>Review of Managerial Science</t>
  </si>
  <si>
    <t>1863-6691</t>
  </si>
  <si>
    <t>Journal of Coastal Conservation</t>
  </si>
  <si>
    <t>1874-7841</t>
  </si>
  <si>
    <t>Journal d'Analyse Mathématique</t>
  </si>
  <si>
    <t>1565-8538</t>
  </si>
  <si>
    <t>Israel Journal of Mathematics</t>
  </si>
  <si>
    <t>1565-8511</t>
  </si>
  <si>
    <t>ZDM – Mathematics Education</t>
  </si>
  <si>
    <t>1863-9704</t>
  </si>
  <si>
    <t>Current Treatment Options in Oncology</t>
  </si>
  <si>
    <t>1534-6277</t>
  </si>
  <si>
    <t>Journal of Pseudo-Differential Operators and Applications</t>
  </si>
  <si>
    <t>1662-999X</t>
  </si>
  <si>
    <t>Air Quality, Atmosphere &amp; Health</t>
  </si>
  <si>
    <t>1873-9326</t>
  </si>
  <si>
    <t>Annals of Dyslexia</t>
  </si>
  <si>
    <t>1934-7243</t>
  </si>
  <si>
    <t>Current Allergy and Asthma Reports</t>
  </si>
  <si>
    <t>1534-6315</t>
  </si>
  <si>
    <t>Current Atherosclerosis Reports</t>
  </si>
  <si>
    <t>1534-6242</t>
  </si>
  <si>
    <t>Current Bladder Dysfunction Reports</t>
  </si>
  <si>
    <t>1931-7220</t>
  </si>
  <si>
    <t>Current Cardiology Reports</t>
  </si>
  <si>
    <t>1534-3170</t>
  </si>
  <si>
    <t>Current Diabetes Reports</t>
  </si>
  <si>
    <t>1539-0829</t>
  </si>
  <si>
    <t>Current Gastroenterology Reports</t>
  </si>
  <si>
    <t>1534-312X</t>
  </si>
  <si>
    <t>Journal of Police and Criminal Psychology</t>
  </si>
  <si>
    <t>1936-6469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</si>
  <si>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</si>
  <si>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</si>
  <si>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</si>
  <si>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</si>
  <si>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</si>
  <si>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</si>
  <si>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</si>
  <si>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</si>
  <si>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</si>
  <si>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</si>
  <si>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</si>
  <si>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</si>
  <si>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Neurology and Neuroscience Reports</t>
  </si>
  <si>
    <t>1534-6293</t>
  </si>
  <si>
    <t>Current Oncology Reports</t>
  </si>
  <si>
    <t>1534-6269</t>
  </si>
  <si>
    <t>Current Osteoporosis Reports</t>
  </si>
  <si>
    <t>1544-2241</t>
  </si>
  <si>
    <t>Current Pain and Headache Reports</t>
  </si>
  <si>
    <t>1534-3081</t>
  </si>
  <si>
    <t>Current Psychiatry Reports</t>
  </si>
  <si>
    <t>1535-1645</t>
  </si>
  <si>
    <t>Current Rheumatology Reports</t>
  </si>
  <si>
    <t>1534-6307</t>
  </si>
  <si>
    <t>Current Sexual Health Reports</t>
  </si>
  <si>
    <t>1548-3592</t>
  </si>
  <si>
    <t>Current Urology Reports</t>
  </si>
  <si>
    <t>1534-6285</t>
  </si>
  <si>
    <t>Current Treatment Options in Cardiovascular Medicine</t>
  </si>
  <si>
    <t>1534-3189</t>
  </si>
  <si>
    <t>Current Treatment Options in Gastroenterology</t>
  </si>
  <si>
    <t>1534-309X</t>
  </si>
  <si>
    <t>Current Treatment Options in Neurology</t>
  </si>
  <si>
    <t>1534-3138</t>
  </si>
  <si>
    <t>AStA Wirtschafts- und Sozialstatistisches Archiv</t>
  </si>
  <si>
    <t>1863-8163</t>
  </si>
  <si>
    <t>Food and Bioprocess Technology</t>
  </si>
  <si>
    <t>1935-5149</t>
  </si>
  <si>
    <t>Applied Solar Energy</t>
  </si>
  <si>
    <t>1934-9424</t>
  </si>
  <si>
    <t>Automatic Control and Computer Sciences</t>
  </si>
  <si>
    <t>1558-108X</t>
  </si>
  <si>
    <t>Automatic Documentation and Mathematical Linguistics</t>
  </si>
  <si>
    <t>1934-8371</t>
  </si>
  <si>
    <t>Bulletin of the Lebedev Physics Institute</t>
  </si>
  <si>
    <t>1934-838X</t>
  </si>
  <si>
    <t>Bulletin of the Russian Academy of Sciences: Physics</t>
  </si>
  <si>
    <t>1934-9432</t>
  </si>
  <si>
    <t>Coke and Chemistry</t>
  </si>
  <si>
    <t>1934-8398</t>
  </si>
  <si>
    <t>Cytology and Genetics</t>
  </si>
  <si>
    <t>1934-9440</t>
  </si>
  <si>
    <t>Journal of Contemporary Mathematical Analysis (Armenian Academy of Sciences)</t>
  </si>
  <si>
    <t>1934-9416</t>
  </si>
  <si>
    <t>Journal of Contemporary Physics (Armenian Academy of Sciences)</t>
  </si>
  <si>
    <t>1934-9378</t>
  </si>
  <si>
    <t>Journal of Friction and Wear</t>
  </si>
  <si>
    <t>1934-9386</t>
  </si>
  <si>
    <t>Journal of Superhard Materials</t>
  </si>
  <si>
    <t>1934-9408</t>
  </si>
  <si>
    <t>Journal of Water Chemistry and Technology</t>
  </si>
  <si>
    <t>1934-936X</t>
  </si>
  <si>
    <t>Kinematics and Physics of Celestial Bodies</t>
  </si>
  <si>
    <t>1934-8401</t>
  </si>
  <si>
    <t>Mechanics of Solids</t>
  </si>
  <si>
    <t>1934-7936</t>
  </si>
  <si>
    <t>Molecular Genetics, Microbiology and Virology</t>
  </si>
  <si>
    <t>1934-841X</t>
  </si>
  <si>
    <t>Moscow University Biological Sciences Bulletin</t>
  </si>
  <si>
    <t>1934-791X</t>
  </si>
  <si>
    <t>Moscow University Chemistry Bulletin</t>
  </si>
  <si>
    <t>1935-0260</t>
  </si>
  <si>
    <t>Moscow University Computational Mathematics and Cybernetics</t>
  </si>
  <si>
    <t>1934-8428</t>
  </si>
  <si>
    <t>Moscow University Geology Bulletin</t>
  </si>
  <si>
    <t>1934-8436</t>
  </si>
  <si>
    <t>Moscow University Mathematics Bulletin</t>
  </si>
  <si>
    <t>1934-8444</t>
  </si>
  <si>
    <t>Moscow University Mechanics Bulletin</t>
  </si>
  <si>
    <t>1934-8452</t>
  </si>
  <si>
    <t>Moscow University Physics Bulletin</t>
  </si>
  <si>
    <t>1934-8460</t>
  </si>
  <si>
    <t>Moscow University Soil Science Bulletin</t>
  </si>
  <si>
    <t>1934-7928</t>
  </si>
  <si>
    <t>Optoelectronics, Instrumentation and Data Processing</t>
  </si>
  <si>
    <t>1934-7944</t>
  </si>
  <si>
    <t>Physics of Wave Phenomena</t>
  </si>
  <si>
    <t>1934-807X</t>
  </si>
  <si>
    <t>Radioelectronics and Communications Systems</t>
  </si>
  <si>
    <t>1934-8061</t>
  </si>
  <si>
    <t>Russian Aeronautics</t>
  </si>
  <si>
    <t>1934-7901</t>
  </si>
  <si>
    <t>Russian Agricultural Sciences</t>
  </si>
  <si>
    <t>1934-8037</t>
  </si>
  <si>
    <t>Russian Electrical Engineering</t>
  </si>
  <si>
    <t>1934-8010</t>
  </si>
  <si>
    <t>Russian Engineering Research</t>
  </si>
  <si>
    <t>1934-8088</t>
  </si>
  <si>
    <t>Russian Journal of Non-Ferrous Metals</t>
  </si>
  <si>
    <t>1934-970X</t>
  </si>
  <si>
    <t>Russian Mathematics</t>
  </si>
  <si>
    <t>1934-810X</t>
  </si>
  <si>
    <t>Russian Meteorology and Hydrology</t>
  </si>
  <si>
    <t>1934-8096</t>
  </si>
  <si>
    <t>Scientific and Technical Information Processing</t>
  </si>
  <si>
    <t>1934-8118</t>
  </si>
  <si>
    <t>Solid Fuel Chemistry</t>
  </si>
  <si>
    <t>1934-8029</t>
  </si>
  <si>
    <t>Steel in Translation</t>
  </si>
  <si>
    <t>1935-0988</t>
  </si>
  <si>
    <t>Surface Engineering and Applied Electrochemistry</t>
  </si>
  <si>
    <t>1934-8002</t>
  </si>
  <si>
    <t>Vestnik St. Petersburg University, Mathematics</t>
  </si>
  <si>
    <t>1934-7855</t>
  </si>
  <si>
    <t>Seismic Instruments</t>
  </si>
  <si>
    <t>1934-7871</t>
  </si>
  <si>
    <t>Journal of Coatings Technology and Research</t>
  </si>
  <si>
    <t>1935-3804</t>
  </si>
  <si>
    <t>Journal of Machinery Manufacture and Reliability</t>
  </si>
  <si>
    <t>1934-9394</t>
  </si>
  <si>
    <t>Siberian Advances in Mathematics</t>
  </si>
  <si>
    <t>1934-8126</t>
  </si>
  <si>
    <t>International Journal of Self-Propagating High-Temperature Synthesis</t>
  </si>
  <si>
    <t>1934-788X</t>
  </si>
  <si>
    <t>Mathematical Methods of Statistics</t>
  </si>
  <si>
    <t>1934-8045</t>
  </si>
  <si>
    <t>Optical Memory and Neural Networks</t>
  </si>
  <si>
    <t>1934-7898</t>
  </si>
  <si>
    <t>International Journal on Interactive Design and Manufacturing (IJIDeM)</t>
  </si>
  <si>
    <t>1955-2505</t>
  </si>
  <si>
    <t>Applied Biochemistry and Biotechnology</t>
  </si>
  <si>
    <t>1559-0291</t>
  </si>
  <si>
    <t>Biological Trace Element Research</t>
  </si>
  <si>
    <t>1559-0720</t>
  </si>
  <si>
    <t>Cardiovascular Toxicology</t>
  </si>
  <si>
    <t>1559-0259</t>
  </si>
  <si>
    <t>Cell Biochemistry and Biophysics</t>
  </si>
  <si>
    <t>1559-0283</t>
  </si>
  <si>
    <t>Stem Cell Reviews and Reports</t>
  </si>
  <si>
    <t>2629-3277</t>
  </si>
  <si>
    <t>Clinical Reviews in Allergy &amp; Immunology</t>
  </si>
  <si>
    <t>1559-0267</t>
  </si>
  <si>
    <t>NeuroMolecular Medicine</t>
  </si>
  <si>
    <t>1559-1174</t>
  </si>
  <si>
    <t>Clinical &amp; Translational Metabolism</t>
  </si>
  <si>
    <t>2948-2445</t>
  </si>
  <si>
    <t>Endocrine</t>
  </si>
  <si>
    <t>1559-0100</t>
  </si>
  <si>
    <t>NeuroInformatics</t>
  </si>
  <si>
    <t>1559-0089</t>
  </si>
  <si>
    <t>Endocrine Pathology</t>
  </si>
  <si>
    <t>1559-0097</t>
  </si>
  <si>
    <t>Forensic Science, Medicine and Pathology</t>
  </si>
  <si>
    <t>1556-2891</t>
  </si>
  <si>
    <t>Immunologic Research</t>
  </si>
  <si>
    <t>1559-0755</t>
  </si>
  <si>
    <t>ERA Forum</t>
  </si>
  <si>
    <t>1863-9038</t>
  </si>
  <si>
    <t>Neurocritical Care</t>
  </si>
  <si>
    <t>1556-0961</t>
  </si>
  <si>
    <t>Journal of Gastrointestinal Cancer</t>
  </si>
  <si>
    <t>1941-6636</t>
  </si>
  <si>
    <t>Journal of Molecular Neuroscience</t>
  </si>
  <si>
    <t>1559-1166</t>
  </si>
  <si>
    <t>Medical Oncology</t>
  </si>
  <si>
    <t>1559-131X</t>
  </si>
  <si>
    <t>Molecular Biotechnology</t>
  </si>
  <si>
    <t>1559-0305</t>
  </si>
  <si>
    <t>Molecular Neurobiology</t>
  </si>
  <si>
    <t>1559-1182</t>
  </si>
  <si>
    <t>Tropical Plant Biology</t>
  </si>
  <si>
    <t>1935-9764</t>
  </si>
  <si>
    <t>Energy Efficiency</t>
  </si>
  <si>
    <t>1570-6478</t>
  </si>
  <si>
    <t>Sozial Extra</t>
  </si>
  <si>
    <t>1863-8953</t>
  </si>
  <si>
    <t>Indian Journal of Thoracic and Cardiovascular Surgery</t>
  </si>
  <si>
    <t>0973-7723</t>
  </si>
  <si>
    <t>Applied Spatial Analysis and Policy</t>
  </si>
  <si>
    <t>1874-4621</t>
  </si>
  <si>
    <t>Journal of Population Ageing</t>
  </si>
  <si>
    <t>1874-7876</t>
  </si>
  <si>
    <t>Operations Management Research</t>
  </si>
  <si>
    <t>1936-9743</t>
  </si>
  <si>
    <t>Theory in Biosciences</t>
  </si>
  <si>
    <t>1611-7530</t>
  </si>
  <si>
    <t>Evolutionary Intelligence</t>
  </si>
  <si>
    <t>1864-5917</t>
  </si>
  <si>
    <t>Indian Journal of Otolaryngology and Head &amp; Neck Surgery</t>
  </si>
  <si>
    <t>0973-7707</t>
  </si>
  <si>
    <t>Hepatology International</t>
  </si>
  <si>
    <t>1936-0541</t>
  </si>
  <si>
    <t>Letters in Spatial and Resource Sciences</t>
  </si>
  <si>
    <t>1864-404X</t>
  </si>
  <si>
    <t>Theoretical Ecology</t>
  </si>
  <si>
    <t>1874-1746</t>
  </si>
  <si>
    <t>Peer-to-Peer Networking and Applications</t>
  </si>
  <si>
    <t>1936-6450</t>
  </si>
  <si>
    <t>Indian Journal of Microbiology</t>
  </si>
  <si>
    <t>0973-7715</t>
  </si>
  <si>
    <t>Clinical and Translational Oncology</t>
  </si>
  <si>
    <t>1699-3055</t>
  </si>
  <si>
    <t>Cryptography and Communications</t>
  </si>
  <si>
    <t>1936-2455</t>
  </si>
  <si>
    <t>Indian Journal of Pediatrics</t>
  </si>
  <si>
    <t>0973-7693</t>
  </si>
  <si>
    <t>American Journal of Criminal Justice</t>
  </si>
  <si>
    <t>1936-1351</t>
  </si>
  <si>
    <t>Biomolecular NMR Assignments</t>
  </si>
  <si>
    <t>1874-270X</t>
  </si>
  <si>
    <t>Head and Neck Pathology</t>
  </si>
  <si>
    <t>1936-0568</t>
  </si>
  <si>
    <t>The American Sociologist</t>
  </si>
  <si>
    <t>1936-4784</t>
  </si>
  <si>
    <t>Publishing Research Quarterly</t>
  </si>
  <si>
    <t>1936-4792</t>
  </si>
  <si>
    <t>Human Nature</t>
  </si>
  <si>
    <t>1936-4776</t>
  </si>
  <si>
    <t>Journal of African American Studies</t>
  </si>
  <si>
    <t>1936-4741</t>
  </si>
  <si>
    <t>Society</t>
  </si>
  <si>
    <t>1936-4725</t>
  </si>
  <si>
    <t>Studies in Comparative International Development</t>
  </si>
  <si>
    <t>1936-6167</t>
  </si>
  <si>
    <t>Trends in Organized Crime</t>
  </si>
  <si>
    <t>1936-4830</t>
  </si>
  <si>
    <t>Sexuality &amp; Culture</t>
  </si>
  <si>
    <t>1936-4822</t>
  </si>
  <si>
    <t>Journal of Labor Research</t>
  </si>
  <si>
    <t>1936-4768</t>
  </si>
  <si>
    <t>Integrative Psychological and Behavioral Science</t>
  </si>
  <si>
    <t>1936-3567</t>
  </si>
  <si>
    <t>Ageing International</t>
  </si>
  <si>
    <t>1936-606X</t>
  </si>
  <si>
    <t>Urban Forum</t>
  </si>
  <si>
    <t>1874-6330</t>
  </si>
  <si>
    <t>Journal of International Migration and Integration</t>
  </si>
  <si>
    <t>1874-6365</t>
  </si>
  <si>
    <t>Acta Analytica</t>
  </si>
  <si>
    <t>1874-6349</t>
  </si>
  <si>
    <t>International Journal of the Classical Tradition</t>
  </si>
  <si>
    <t>1874-6292</t>
  </si>
  <si>
    <t>East Asia</t>
  </si>
  <si>
    <t>1874-6284</t>
  </si>
  <si>
    <t>Human Rights Review</t>
  </si>
  <si>
    <t>1874-6306</t>
  </si>
  <si>
    <t>Current Psychology</t>
  </si>
  <si>
    <t>1936-4733</t>
  </si>
  <si>
    <t>Earth Science Informatics</t>
  </si>
  <si>
    <t>1865-0481</t>
  </si>
  <si>
    <t>Gender Issues</t>
  </si>
  <si>
    <t>1936-4717</t>
  </si>
  <si>
    <t>Annals of Nuclear Medicine</t>
  </si>
  <si>
    <t>1864-6433</t>
  </si>
  <si>
    <t>Neuroethics</t>
  </si>
  <si>
    <t>1874-5504</t>
  </si>
  <si>
    <t>BioEnergy Research</t>
  </si>
  <si>
    <t>1939-1242</t>
  </si>
  <si>
    <t>Food Analytical Methods</t>
  </si>
  <si>
    <t>1936-976X</t>
  </si>
  <si>
    <t>Current Cardiovascular Risk Reports</t>
  </si>
  <si>
    <t>1932-9563</t>
  </si>
  <si>
    <t>Current Reviews in Musculoskeletal Medicine</t>
  </si>
  <si>
    <t>1935-9748</t>
  </si>
  <si>
    <t>Die Kardiologie</t>
  </si>
  <si>
    <t>2731-7137</t>
  </si>
  <si>
    <t>International Journal of Hematology</t>
  </si>
  <si>
    <t>1865-3774</t>
  </si>
  <si>
    <t>Child Indicators Research</t>
  </si>
  <si>
    <t>1874-8988</t>
  </si>
  <si>
    <t>Abhandlungen aus dem Mathematischen Seminar der Universität Hamburg</t>
  </si>
  <si>
    <t>1865-8784</t>
  </si>
  <si>
    <t>Journal of Applied Mathematics and Computing</t>
  </si>
  <si>
    <t>1865-2085</t>
  </si>
  <si>
    <t>Journal on Multimodal User Interfaces</t>
  </si>
  <si>
    <t>1783-8738</t>
  </si>
  <si>
    <t>Radiological Physics and Technology</t>
  </si>
  <si>
    <t>1865-0341</t>
  </si>
  <si>
    <t>Cellular and Molecular Bioengineering</t>
  </si>
  <si>
    <t>1865-5033</t>
  </si>
  <si>
    <t>Journal of Economics and Finance</t>
  </si>
  <si>
    <t>1938-9744</t>
  </si>
  <si>
    <t>Journal of Transportation Security</t>
  </si>
  <si>
    <t>1938-775X</t>
  </si>
  <si>
    <t>Nanobiotechnology Reports</t>
  </si>
  <si>
    <t>2635-1684</t>
  </si>
  <si>
    <t>Lobachevskii Journal of Mathematics</t>
  </si>
  <si>
    <t>1818-9962</t>
  </si>
  <si>
    <t>Journal of Shanghai Jiaotong University (Science)</t>
  </si>
  <si>
    <t>1995-8188</t>
  </si>
  <si>
    <t>Psychological Injury and Law</t>
  </si>
  <si>
    <t>1938-9728</t>
  </si>
  <si>
    <t>International Review on Public and Nonprofit Marketing</t>
  </si>
  <si>
    <t>1865-1992</t>
  </si>
  <si>
    <t>Transactions of Tianjin University</t>
  </si>
  <si>
    <t>1995-8196</t>
  </si>
  <si>
    <t>Rendiconti Lincei. Scienze Fisiche e Naturali</t>
  </si>
  <si>
    <t>1720-0776</t>
  </si>
  <si>
    <t>Inland Water Biology</t>
  </si>
  <si>
    <t>1995-0837</t>
  </si>
  <si>
    <t>Journal of Micro and Bio Robotics</t>
  </si>
  <si>
    <t>2194-6426</t>
  </si>
  <si>
    <t>Rendiconti del Circolo Matematico di Palermo Series 2</t>
  </si>
  <si>
    <t>1973-4409</t>
  </si>
  <si>
    <t>Microgravity Science and Technology</t>
  </si>
  <si>
    <t>1875-0494</t>
  </si>
  <si>
    <t>The Journal of Geometric Analysis</t>
  </si>
  <si>
    <t>1559-002X</t>
  </si>
  <si>
    <t>Fibers and Polymers</t>
  </si>
  <si>
    <t>1875-0052</t>
  </si>
  <si>
    <t>Folia Microbiologica</t>
  </si>
  <si>
    <t>1874-9356</t>
  </si>
  <si>
    <t>Folia Geobotanica</t>
  </si>
  <si>
    <t>1874-9348</t>
  </si>
  <si>
    <t>Kew Bulletin</t>
  </si>
  <si>
    <t>1874-933X</t>
  </si>
  <si>
    <t>Brittonia</t>
  </si>
  <si>
    <t>1938-436X</t>
  </si>
  <si>
    <t>The Botanical Review</t>
  </si>
  <si>
    <t>1874-9372</t>
  </si>
  <si>
    <t>American Journal of Potato Research</t>
  </si>
  <si>
    <t>1874-9380</t>
  </si>
  <si>
    <t>Economic Botany</t>
  </si>
  <si>
    <t>1874-9364</t>
  </si>
  <si>
    <t>International Review of Economics</t>
  </si>
  <si>
    <t>1863-4613</t>
  </si>
  <si>
    <t>Estuaries and Coasts</t>
  </si>
  <si>
    <t>1559-2731</t>
  </si>
  <si>
    <t>International Journal of Automotive Technology</t>
  </si>
  <si>
    <t>1976-3832</t>
  </si>
  <si>
    <t>Annals of Telecommunications</t>
  </si>
  <si>
    <t>1958-9395</t>
  </si>
  <si>
    <t>Journal of Pharmaceutical Innovation</t>
  </si>
  <si>
    <t>1939-8042</t>
  </si>
  <si>
    <t>The AAPS Journal</t>
  </si>
  <si>
    <t>1550-7416</t>
  </si>
  <si>
    <t>AAPS PharmSciTech</t>
  </si>
  <si>
    <t>1530-9932</t>
  </si>
  <si>
    <t>memo - Magazine of European Medical Oncology</t>
  </si>
  <si>
    <t>1865-5076</t>
  </si>
  <si>
    <t>Biotechnology and Bioprocess Engineering</t>
  </si>
  <si>
    <t>1976-3816</t>
  </si>
  <si>
    <t>Numerical Analysis and Applications</t>
  </si>
  <si>
    <t>1995-4247</t>
  </si>
  <si>
    <t>Contemporary Problems of Ecology</t>
  </si>
  <si>
    <t>1995-4263</t>
  </si>
  <si>
    <t>Polymer Science, Series D</t>
  </si>
  <si>
    <t>1995-4220</t>
  </si>
  <si>
    <t>Indian Journal of Surgery</t>
  </si>
  <si>
    <t>0973-9793</t>
  </si>
  <si>
    <t>Neuroscience Bulletin</t>
  </si>
  <si>
    <t>1995-8218</t>
  </si>
  <si>
    <t>Journal of Cardiovascular Translational Research</t>
  </si>
  <si>
    <t>1937-5395</t>
  </si>
  <si>
    <t>Gravitation and Cosmology</t>
  </si>
  <si>
    <t>1995-0721</t>
  </si>
  <si>
    <t>BioSpektrum</t>
  </si>
  <si>
    <t>1868-6249</t>
  </si>
  <si>
    <t>Archives of Pharmacal Research</t>
  </si>
  <si>
    <t>1976-3786</t>
  </si>
  <si>
    <t>Building Simulation</t>
  </si>
  <si>
    <t>1996-8744</t>
  </si>
  <si>
    <t>Current Fungal Infection Reports</t>
  </si>
  <si>
    <t>1936-377X</t>
  </si>
  <si>
    <t>Breast Cancer</t>
  </si>
  <si>
    <t>1880-4233</t>
  </si>
  <si>
    <t>Sports Engineering</t>
  </si>
  <si>
    <t>1460-2687</t>
  </si>
  <si>
    <t>Die MKG-Chirurgie</t>
  </si>
  <si>
    <t>2731-7498</t>
  </si>
  <si>
    <t>Zeitschrift für Vergleichende Politikwissenschaft</t>
  </si>
  <si>
    <t>1865-2654</t>
  </si>
  <si>
    <t>Indian Journal of Hematology and Blood Transfusion</t>
  </si>
  <si>
    <t>0974-0449</t>
  </si>
  <si>
    <t>International Journal of Material Forming</t>
  </si>
  <si>
    <t>1960-6214</t>
  </si>
  <si>
    <t>Indian Journal of Clinical Biochemistry</t>
  </si>
  <si>
    <t>0974-0422</t>
  </si>
  <si>
    <t>Memetic Computing</t>
  </si>
  <si>
    <t>1865-9292</t>
  </si>
  <si>
    <t>Physiology and Molecular Biology of Plants</t>
  </si>
  <si>
    <t>0974-0430</t>
  </si>
  <si>
    <t>Geosciences Journal</t>
  </si>
  <si>
    <t>1598-7477</t>
  </si>
  <si>
    <t>Biosemiotics</t>
  </si>
  <si>
    <t>1875-1350</t>
  </si>
  <si>
    <t>Musculoskeletal Surgery</t>
  </si>
  <si>
    <t>2035-5114</t>
  </si>
  <si>
    <t>Journal of Hematopathology</t>
  </si>
  <si>
    <t>1865-5785</t>
  </si>
  <si>
    <t>School Mental Health</t>
  </si>
  <si>
    <t>1866-2633</t>
  </si>
  <si>
    <t>The Cerebellum</t>
  </si>
  <si>
    <t>1473-4230</t>
  </si>
  <si>
    <t>Advances in Therapy</t>
  </si>
  <si>
    <t>1865-8652</t>
  </si>
  <si>
    <t>hautnah</t>
  </si>
  <si>
    <t>2192-6484</t>
  </si>
  <si>
    <t>Clinical Journal of Gastroenterology</t>
  </si>
  <si>
    <t>1865-7265</t>
  </si>
  <si>
    <t>Qualitative Theory of Dynamical Systems</t>
  </si>
  <si>
    <t>1662-3592</t>
  </si>
  <si>
    <t>Operational Research</t>
  </si>
  <si>
    <t>1866-1505</t>
  </si>
  <si>
    <t>Sugar Tech</t>
  </si>
  <si>
    <t>0974-0740</t>
  </si>
  <si>
    <t>International Journal of Social Robotics</t>
  </si>
  <si>
    <t>1875-4805</t>
  </si>
  <si>
    <t>Geoheritage</t>
  </si>
  <si>
    <t>1867-2485</t>
  </si>
  <si>
    <t>Journal of Plant Biology</t>
  </si>
  <si>
    <t>1867-0725</t>
  </si>
  <si>
    <t>Food Engineering Reviews</t>
  </si>
  <si>
    <t>1866-7929</t>
  </si>
  <si>
    <t>Contemporary Jewry</t>
  </si>
  <si>
    <t>1876-5165</t>
  </si>
  <si>
    <t>Zeitschrift für Außen- und Sicherheitspolitik</t>
  </si>
  <si>
    <t>1866-2196</t>
  </si>
  <si>
    <t>Exposure and Health</t>
  </si>
  <si>
    <t>2451-9685</t>
  </si>
  <si>
    <t>Current Cardiovascular Imaging Reports</t>
  </si>
  <si>
    <t>1941-9074</t>
  </si>
  <si>
    <t>Public Transport</t>
  </si>
  <si>
    <t>1613-7159</t>
  </si>
  <si>
    <t>Arabian Journal of Geosciences</t>
  </si>
  <si>
    <t>1866-7538</t>
  </si>
  <si>
    <t>Applied Geomatics</t>
  </si>
  <si>
    <t>1866-928X</t>
  </si>
  <si>
    <t>World Journal of Pediatrics</t>
  </si>
  <si>
    <t>1867-0687</t>
  </si>
  <si>
    <t>Archaeological and Anthropological Sciences</t>
  </si>
  <si>
    <t>1866-9565</t>
  </si>
  <si>
    <t>Journal of the Indian Society of Remote Sensing</t>
  </si>
  <si>
    <t>0974-3006</t>
  </si>
  <si>
    <t>Electronic Markets</t>
  </si>
  <si>
    <t>1422-8890</t>
  </si>
  <si>
    <t>Marine Biodiversity</t>
  </si>
  <si>
    <t>1867-1624</t>
  </si>
  <si>
    <t>Journal of Computing in Higher Education</t>
  </si>
  <si>
    <t>1867-1233</t>
  </si>
  <si>
    <t>International Journal of Behavioral Medicine</t>
  </si>
  <si>
    <t>1532-7558</t>
  </si>
  <si>
    <t>Evolving Systems</t>
  </si>
  <si>
    <t>1868-6486</t>
  </si>
  <si>
    <t>Mathematical Programming Computation</t>
  </si>
  <si>
    <t>1867-2957</t>
  </si>
  <si>
    <t>Interdisciplinary Sciences: Computational Life Sciences</t>
  </si>
  <si>
    <t>1867-1462</t>
  </si>
  <si>
    <t>Metals and Materials International</t>
  </si>
  <si>
    <t>2005-4149</t>
  </si>
  <si>
    <t>International Journal of Precision Engineering and Manufacturing</t>
  </si>
  <si>
    <t>2005-4602</t>
  </si>
  <si>
    <t>PalZ</t>
  </si>
  <si>
    <t>1867-6812</t>
  </si>
  <si>
    <t>Journal of Population Research</t>
  </si>
  <si>
    <t>1835-9469</t>
  </si>
  <si>
    <t>Palaeobiodiversity and Palaeoenvironments</t>
  </si>
  <si>
    <t>1867-1608</t>
  </si>
  <si>
    <t>Mycotoxin Research</t>
  </si>
  <si>
    <t>1867-1632</t>
  </si>
  <si>
    <t>Biophysical Reviews</t>
  </si>
  <si>
    <t>1867-2469</t>
  </si>
  <si>
    <t>Race and Social Problems</t>
  </si>
  <si>
    <t>1867-1756</t>
  </si>
  <si>
    <t>Health and Technology</t>
  </si>
  <si>
    <t>2190-7196</t>
  </si>
  <si>
    <t>Cognitive Computation</t>
  </si>
  <si>
    <t>1866-9964</t>
  </si>
  <si>
    <t>Food and Environmental Virology</t>
  </si>
  <si>
    <t>1867-0342</t>
  </si>
  <si>
    <t>Statistics in Biosciences</t>
  </si>
  <si>
    <t>1867-1772</t>
  </si>
  <si>
    <t>Fisheries Science</t>
  </si>
  <si>
    <t>1444-2906</t>
  </si>
  <si>
    <t>Asia Pacific Education Review</t>
  </si>
  <si>
    <t>1876-407X</t>
  </si>
  <si>
    <t>Anatomical Science International</t>
  </si>
  <si>
    <t>1447-073X</t>
  </si>
  <si>
    <t>CEAS Space Journal</t>
  </si>
  <si>
    <t>1868-2510</t>
  </si>
  <si>
    <t>Food Security</t>
  </si>
  <si>
    <t>1876-4525</t>
  </si>
  <si>
    <t>International Journal of Advances in Engineering Sciences and Applied Mathematics</t>
  </si>
  <si>
    <t>0975-5616</t>
  </si>
  <si>
    <t>Journal of Echocardiography</t>
  </si>
  <si>
    <t>1880-344X</t>
  </si>
  <si>
    <t>Journal of Earth Science</t>
  </si>
  <si>
    <t>1867-111X</t>
  </si>
  <si>
    <t>Differential Equations and Dynamical Systems</t>
  </si>
  <si>
    <t>0974-6870</t>
  </si>
  <si>
    <t>Soziale Passagen</t>
  </si>
  <si>
    <t>1867-0199</t>
  </si>
  <si>
    <t>Proceedings of the Zoological Society</t>
  </si>
  <si>
    <t>0974-6919</t>
  </si>
  <si>
    <t>Journal of Optics</t>
  </si>
  <si>
    <t>0974-6900</t>
  </si>
  <si>
    <t>OPSEARCH</t>
  </si>
  <si>
    <t>0975-0320</t>
  </si>
  <si>
    <t>Rare Metals</t>
  </si>
  <si>
    <t>1867-7185</t>
  </si>
  <si>
    <t>Business &amp; Information Systems Engineering</t>
  </si>
  <si>
    <t>1867-0202</t>
  </si>
  <si>
    <t>Phytoparasitica</t>
  </si>
  <si>
    <t>1876-7184</t>
  </si>
  <si>
    <t>Ocean Science Journal</t>
  </si>
  <si>
    <t>2005-7172</t>
  </si>
  <si>
    <t>Probiotics and Antimicrobial Proteins</t>
  </si>
  <si>
    <t>1867-1314</t>
  </si>
  <si>
    <t>Catalysis in Industry</t>
  </si>
  <si>
    <t>2070-0555</t>
  </si>
  <si>
    <t>Atmospheric and Oceanic Optics</t>
  </si>
  <si>
    <t>2070-0393</t>
  </si>
  <si>
    <t>p-Adic Numbers, Ultrametric Analysis and Applications</t>
  </si>
  <si>
    <t>2070-0474</t>
  </si>
  <si>
    <t>Mathematical Models and Computer Simulations</t>
  </si>
  <si>
    <t>2070-0490</t>
  </si>
  <si>
    <t>Current Breast Cancer Reports</t>
  </si>
  <si>
    <t>1943-4596</t>
  </si>
  <si>
    <t>International Journal of Minerals, Metallurgy and Materials</t>
  </si>
  <si>
    <t>1869-103X</t>
  </si>
  <si>
    <t>The Review of Socionetwork Strategies</t>
  </si>
  <si>
    <t>1867-3236</t>
  </si>
  <si>
    <t>Canadian Journal of Anesthesia/Journal canadien d'anesthésie</t>
  </si>
  <si>
    <t>1496-8975</t>
  </si>
  <si>
    <t>Silicon</t>
  </si>
  <si>
    <t>1876-9918</t>
  </si>
  <si>
    <t>Journal of Parasitic Diseases</t>
  </si>
  <si>
    <t>0975-0703</t>
  </si>
  <si>
    <t>Neurotoxicity Research</t>
  </si>
  <si>
    <t>1476-3524</t>
  </si>
  <si>
    <t>Psychological Studies</t>
  </si>
  <si>
    <t>0974-9861</t>
  </si>
  <si>
    <t>Mapan</t>
  </si>
  <si>
    <t>0974-9853</t>
  </si>
  <si>
    <t>Indian Journal of Physics</t>
  </si>
  <si>
    <t>0974-9845</t>
  </si>
  <si>
    <t>Waste and Biomass Valorization</t>
  </si>
  <si>
    <t>1877-265X</t>
  </si>
  <si>
    <t>Journal of Visualization</t>
  </si>
  <si>
    <t>1875-8975</t>
  </si>
  <si>
    <t>Journal of Ambient Intelligence and Humanized Computing</t>
  </si>
  <si>
    <t>1868-5145</t>
  </si>
  <si>
    <t>German Journal of Exercise and Sport Research</t>
  </si>
  <si>
    <t>2509-3150</t>
  </si>
  <si>
    <t>Journal of Maxillofacial and Oral Surgery</t>
  </si>
  <si>
    <t>0974-942X</t>
  </si>
  <si>
    <t>Indian Journal of Gastroenterology</t>
  </si>
  <si>
    <t>0975-0711</t>
  </si>
  <si>
    <t>Environmental Earth Sciences</t>
  </si>
  <si>
    <t>1866-6299</t>
  </si>
  <si>
    <t>Transactions of the Indian Institute of Metals</t>
  </si>
  <si>
    <t>0975-1645</t>
  </si>
  <si>
    <t>Energy Systems</t>
  </si>
  <si>
    <t>1868-3975</t>
  </si>
  <si>
    <t>BioNanoScience</t>
  </si>
  <si>
    <t>2191-1649</t>
  </si>
  <si>
    <t>Mindfulness</t>
  </si>
  <si>
    <t>1868-8535</t>
  </si>
  <si>
    <t>Electrocatalysis</t>
  </si>
  <si>
    <t>1868-5994</t>
  </si>
  <si>
    <t>Water History</t>
  </si>
  <si>
    <t>1877-7244</t>
  </si>
  <si>
    <t>Conservation Genetics Resources</t>
  </si>
  <si>
    <t>1877-7260</t>
  </si>
  <si>
    <t>Journal of Community Genetics</t>
  </si>
  <si>
    <t>1868-6001</t>
  </si>
  <si>
    <t>Rheuma plus</t>
  </si>
  <si>
    <t>2191-2610</t>
  </si>
  <si>
    <t>China-EU Law Journal</t>
  </si>
  <si>
    <t>1868-5161</t>
  </si>
  <si>
    <t>Journal of Crop Science and Biotechnology</t>
  </si>
  <si>
    <t>2005-8276</t>
  </si>
  <si>
    <t>Cardiovascular Intervention and Therapeutics</t>
  </si>
  <si>
    <t>1868-4297</t>
  </si>
  <si>
    <t>Translational Stroke Research</t>
  </si>
  <si>
    <t>1868-601X</t>
  </si>
  <si>
    <t>International Journal of Machine Learning and Cybernetics</t>
  </si>
  <si>
    <t>1868-808X</t>
  </si>
  <si>
    <t>Journal of Physiology and Biochemistry</t>
  </si>
  <si>
    <t>1877-8755</t>
  </si>
  <si>
    <t>Organisms Diversity &amp; Evolution</t>
  </si>
  <si>
    <t>1618-1077</t>
  </si>
  <si>
    <t>The European Physical Journal H</t>
  </si>
  <si>
    <t>2102-6467</t>
  </si>
  <si>
    <t>Acta Oceanologica Sinica</t>
  </si>
  <si>
    <t>1869-1099</t>
  </si>
  <si>
    <t>Journal of the Knowledge Economy</t>
  </si>
  <si>
    <t>1868-7873</t>
  </si>
  <si>
    <t>GEM - International Journal on Geomathematics</t>
  </si>
  <si>
    <t>1869-2680</t>
  </si>
  <si>
    <t>Journal für Mathematik-Didaktik</t>
  </si>
  <si>
    <t>1869-2699</t>
  </si>
  <si>
    <t>Nuclear Medicine and Molecular Imaging</t>
  </si>
  <si>
    <t>1869-3482</t>
  </si>
  <si>
    <t>Gyroscopy and Navigation</t>
  </si>
  <si>
    <t>2075-1109</t>
  </si>
  <si>
    <t>Asia-Pacific Journal of Atmospheric Sciences</t>
  </si>
  <si>
    <t>1976-7951</t>
  </si>
  <si>
    <t>Carbonates and Evaporites</t>
  </si>
  <si>
    <t>1878-5212</t>
  </si>
  <si>
    <t>Wetlands</t>
  </si>
  <si>
    <t>1943-6246</t>
  </si>
  <si>
    <t>International Journal of Early Childhood</t>
  </si>
  <si>
    <t>1878-4658</t>
  </si>
  <si>
    <t>Japan Journal of Industrial and Applied Mathematics</t>
  </si>
  <si>
    <t>1868-937X</t>
  </si>
  <si>
    <t>AMS Review</t>
  </si>
  <si>
    <t>1869-8182</t>
  </si>
  <si>
    <t>Revista Matemática Complutense</t>
  </si>
  <si>
    <t>1988-2807</t>
  </si>
  <si>
    <t>Review of Philosophy and Psychology</t>
  </si>
  <si>
    <t>1878-5166</t>
  </si>
  <si>
    <t>Organic Agriculture</t>
  </si>
  <si>
    <t>1879-4246</t>
  </si>
  <si>
    <t>EPMA Journal</t>
  </si>
  <si>
    <t>1878-5085</t>
  </si>
  <si>
    <t>Russian Journal of Biological Invasions</t>
  </si>
  <si>
    <t>2075-1125</t>
  </si>
  <si>
    <t>Sankhya A</t>
  </si>
  <si>
    <t>0976-8378</t>
  </si>
  <si>
    <t>International Journal of Intelligent Transportation Systems Research</t>
  </si>
  <si>
    <t>1868-8659</t>
  </si>
  <si>
    <t>Sexuality Research and Social Policy</t>
  </si>
  <si>
    <t>1553-6610</t>
  </si>
  <si>
    <t>Journal of Medical Toxicology</t>
  </si>
  <si>
    <t>1937-6995</t>
  </si>
  <si>
    <t>Journal of Cancer Education</t>
  </si>
  <si>
    <t>1543-0154</t>
  </si>
  <si>
    <t>Inorganic Materials: Applied Research</t>
  </si>
  <si>
    <t>2075-115X</t>
  </si>
  <si>
    <t>Indian Journal of Surgical Oncology</t>
  </si>
  <si>
    <t>0976-6952</t>
  </si>
  <si>
    <t>European Journal for Philosophy of Science</t>
  </si>
  <si>
    <t>1879-4920</t>
  </si>
  <si>
    <t>Journal of the Indian Academy of Wood Science</t>
  </si>
  <si>
    <t>0976-8432</t>
  </si>
  <si>
    <t>Journal of Food Science and Technology</t>
  </si>
  <si>
    <t>0975-8402</t>
  </si>
  <si>
    <t>International Journal of System Assurance Engineering and Management</t>
  </si>
  <si>
    <t>0976-4348</t>
  </si>
  <si>
    <t>Symbiosis</t>
  </si>
  <si>
    <t>1878-7665</t>
  </si>
  <si>
    <t>Applied Nanoscience</t>
  </si>
  <si>
    <t>2190-5517</t>
  </si>
  <si>
    <t>3 Biotech</t>
  </si>
  <si>
    <t>2190-5738</t>
  </si>
  <si>
    <t>BioChip Journal</t>
  </si>
  <si>
    <t>2092-7843</t>
  </si>
  <si>
    <t>SERIEs</t>
  </si>
  <si>
    <t>1869-4195</t>
  </si>
  <si>
    <t>KI - Künstliche Intelligenz</t>
  </si>
  <si>
    <t>1610-1987</t>
  </si>
  <si>
    <t>Datenbank-Spektrum</t>
  </si>
  <si>
    <t>1610-1995</t>
  </si>
  <si>
    <t>The Journal of Obstetrics and Gynecology of India</t>
  </si>
  <si>
    <t>0975-6434</t>
  </si>
  <si>
    <t>Fungal Diversity</t>
  </si>
  <si>
    <t>1878-9129</t>
  </si>
  <si>
    <t>Macromolecular Research</t>
  </si>
  <si>
    <t>2092-7673</t>
  </si>
  <si>
    <t>Dynamic Games and Applications</t>
  </si>
  <si>
    <t>2153-0793</t>
  </si>
  <si>
    <t>The Nucleus</t>
  </si>
  <si>
    <t>0976-7975</t>
  </si>
  <si>
    <t>Cardiovascular Engineering and Technology</t>
  </si>
  <si>
    <t>1869-4098</t>
  </si>
  <si>
    <t>Journal of Remanufacturing</t>
  </si>
  <si>
    <t>2210-4690</t>
  </si>
  <si>
    <t>Physical and Engineering Sciences in Medicine</t>
  </si>
  <si>
    <t>2662-4737</t>
  </si>
  <si>
    <t>Journal of Agricultural, Biological and Environmental Statistics</t>
  </si>
  <si>
    <t>1537-2693</t>
  </si>
  <si>
    <t>Genes &amp; Genomics</t>
  </si>
  <si>
    <t>2092-9293</t>
  </si>
  <si>
    <t>CEAS Aeronautical Journal</t>
  </si>
  <si>
    <t>1869-5590</t>
  </si>
  <si>
    <t>Molecular &amp; Cellular Toxicology</t>
  </si>
  <si>
    <t>2092-8467</t>
  </si>
  <si>
    <t>Ambio</t>
  </si>
  <si>
    <t>1654-7209</t>
  </si>
  <si>
    <t>Jahresbericht der Deutschen Mathematiker-Vereinigung</t>
  </si>
  <si>
    <t>1869-7135</t>
  </si>
  <si>
    <t>International Journal of Steel Structures</t>
  </si>
  <si>
    <t>2093-6311</t>
  </si>
  <si>
    <t>Updates in Surgery</t>
  </si>
  <si>
    <t>2038-3312</t>
  </si>
  <si>
    <t>Indian Pediatrics</t>
  </si>
  <si>
    <t>0974-7559</t>
  </si>
  <si>
    <t>Australasian Plant Pathology</t>
  </si>
  <si>
    <t>1448-6032</t>
  </si>
  <si>
    <t>European Journal of Drug Metabolism and Pharmacokinetics</t>
  </si>
  <si>
    <t>2107-0180</t>
  </si>
  <si>
    <t>Analysis and Mathematical Physics</t>
  </si>
  <si>
    <t>1664-235X</t>
  </si>
  <si>
    <t>Advances in Gerontology</t>
  </si>
  <si>
    <t>2079-0589</t>
  </si>
  <si>
    <t>Arid Ecosystems</t>
  </si>
  <si>
    <t>2079-0988</t>
  </si>
  <si>
    <t>Biology Bulletin Reviews</t>
  </si>
  <si>
    <t>2079-0872</t>
  </si>
  <si>
    <t>VirusDisease</t>
  </si>
  <si>
    <t>2347-3517</t>
  </si>
  <si>
    <t>Diabetology International</t>
  </si>
  <si>
    <t>2190-1686</t>
  </si>
  <si>
    <t>China Ocean Engineering</t>
  </si>
  <si>
    <t>2191-8945</t>
  </si>
  <si>
    <t>Drug Delivery and Translational Research</t>
  </si>
  <si>
    <t>2190-3948</t>
  </si>
  <si>
    <t>Philosophy &amp; Technology</t>
  </si>
  <si>
    <t>2210-5441</t>
  </si>
  <si>
    <t>Collectanea Mathematica</t>
  </si>
  <si>
    <t>2038-4815</t>
  </si>
  <si>
    <t>Journal of Civil Structural Health Monitoring</t>
  </si>
  <si>
    <t>2190-5479</t>
  </si>
  <si>
    <t>journal of meteorological research</t>
  </si>
  <si>
    <t>2198-0934</t>
  </si>
  <si>
    <t>Journal of Applied Genetics</t>
  </si>
  <si>
    <t>2190-3883</t>
  </si>
  <si>
    <t>Applied Entomology and Zoology</t>
  </si>
  <si>
    <t>1347-605X</t>
  </si>
  <si>
    <t>The European Physical Journal Plus</t>
  </si>
  <si>
    <t>2190-5444</t>
  </si>
  <si>
    <t>Mammal Research</t>
  </si>
  <si>
    <t>2199-241X</t>
  </si>
  <si>
    <t>Journal of Neurovirology</t>
  </si>
  <si>
    <t>1538-2443</t>
  </si>
  <si>
    <t>Beiträge zur Algebra und Geometrie / Contributions to Algebra and Geometry</t>
  </si>
  <si>
    <t>2191-0383</t>
  </si>
  <si>
    <t>Korea-Australia Rheology Journal</t>
  </si>
  <si>
    <t>2093-7660</t>
  </si>
  <si>
    <t>Arabian Journal for Science and Engineering</t>
  </si>
  <si>
    <t>2191-4281</t>
  </si>
  <si>
    <t>Afrika Matematika</t>
  </si>
  <si>
    <t>2190-7668</t>
  </si>
  <si>
    <t>The Australian Educational Researcher</t>
  </si>
  <si>
    <t>2210-5328</t>
  </si>
  <si>
    <t>European Actuarial Journal</t>
  </si>
  <si>
    <t>2190-9741</t>
  </si>
  <si>
    <t>Journal of Cryptographic Engineering</t>
  </si>
  <si>
    <t>2190-8516</t>
  </si>
  <si>
    <t>Electronic Materials Letters</t>
  </si>
  <si>
    <t>2093-6788</t>
  </si>
  <si>
    <t>Reviews and advances in chemistry</t>
  </si>
  <si>
    <t>2634-8284</t>
  </si>
  <si>
    <t>Regional Research of Russia</t>
  </si>
  <si>
    <t>2079-9713</t>
  </si>
  <si>
    <t>Mathematics Education Research Journal</t>
  </si>
  <si>
    <t>2211-050X</t>
  </si>
  <si>
    <t>Revista de la Real Academia de Ciencias Exactas, Físicas y Naturales. Serie A. Matemáticas</t>
  </si>
  <si>
    <t>1579-1505</t>
  </si>
  <si>
    <t>Biomass Conversion and Biorefinery</t>
  </si>
  <si>
    <t>2190-6823</t>
  </si>
  <si>
    <t>Gold Bulletin</t>
  </si>
  <si>
    <t>2190-7579</t>
  </si>
  <si>
    <t>International Journal of Diabetes in Developing Countries</t>
  </si>
  <si>
    <t>1998-3832</t>
  </si>
  <si>
    <t>Journal of Environmental Studies and Sciences</t>
  </si>
  <si>
    <t>2190-6491</t>
  </si>
  <si>
    <t>Attention, Perception, &amp; Psychophysics</t>
  </si>
  <si>
    <t>1943-393X</t>
  </si>
  <si>
    <t>Cognitive, Affective, &amp; Behavioral Neuroscience</t>
  </si>
  <si>
    <t>1531-135X</t>
  </si>
  <si>
    <t>Learning &amp; Behavior</t>
  </si>
  <si>
    <t>1543-4508</t>
  </si>
  <si>
    <t>Memory &amp; Cognition</t>
  </si>
  <si>
    <t>1532-5946</t>
  </si>
  <si>
    <t>Psychonomic Bulletin &amp; Review</t>
  </si>
  <si>
    <t>1531-5320</t>
  </si>
  <si>
    <t>Behavior Research Methods</t>
  </si>
  <si>
    <t>1554-3528</t>
  </si>
  <si>
    <t>WMU Journal of Maritime Affairs</t>
  </si>
  <si>
    <t>1654-1642</t>
  </si>
  <si>
    <t>Asian Journal of Business Ethics</t>
  </si>
  <si>
    <t>2210-6731</t>
  </si>
  <si>
    <t>Toxicology and Environmental Health Sciences</t>
  </si>
  <si>
    <t>2233-7784</t>
  </si>
  <si>
    <t>Biomedical Engineering Letters</t>
  </si>
  <si>
    <t>2093-985X</t>
  </si>
  <si>
    <t>Brazilian Journal of Physics</t>
  </si>
  <si>
    <t>1678-4448</t>
  </si>
  <si>
    <t>Fractional Calculus and Applied Analysis</t>
  </si>
  <si>
    <t>1314-2224</t>
  </si>
  <si>
    <t>Geography and Natural Resources</t>
  </si>
  <si>
    <t>1875-371X</t>
  </si>
  <si>
    <t>Journal of Plant Biochemistry and Biotechnology</t>
  </si>
  <si>
    <t>0974-1275</t>
  </si>
  <si>
    <t>Mineral Economics</t>
  </si>
  <si>
    <t>2191-2211</t>
  </si>
  <si>
    <t>Sankhya B</t>
  </si>
  <si>
    <t>0976-8394</t>
  </si>
  <si>
    <t>Human Cell</t>
  </si>
  <si>
    <t>1749-0774</t>
  </si>
  <si>
    <t>Horticulture, Environment, and Biotechnology</t>
  </si>
  <si>
    <t>2211-3460</t>
  </si>
  <si>
    <t>Apidologie</t>
  </si>
  <si>
    <t>1297-9678</t>
  </si>
  <si>
    <t>Agronomy for Sustainable Development</t>
  </si>
  <si>
    <t>1773-0155</t>
  </si>
  <si>
    <t>Advances in Traditional Medicine</t>
  </si>
  <si>
    <t>2662-4060</t>
  </si>
  <si>
    <t>Metallography, Microstructure, and Analysis</t>
  </si>
  <si>
    <t>2192-9270</t>
  </si>
  <si>
    <t>Current Pulmonology Reports</t>
  </si>
  <si>
    <t>2199-2428</t>
  </si>
  <si>
    <t>Current Nutrition Reports</t>
  </si>
  <si>
    <t>2161-3311</t>
  </si>
  <si>
    <t>Current Obstetrics and Gynecology Reports</t>
  </si>
  <si>
    <t>2161-3303</t>
  </si>
  <si>
    <t>Current Geriatrics Reports</t>
  </si>
  <si>
    <t>2196-7865</t>
  </si>
  <si>
    <t>Current Dermatology Reports</t>
  </si>
  <si>
    <t>2162-4933</t>
  </si>
  <si>
    <t>Current Obesity Reports</t>
  </si>
  <si>
    <t>2162-4968</t>
  </si>
  <si>
    <t>International Cancer Conference Journal</t>
  </si>
  <si>
    <t>2192-3183</t>
  </si>
  <si>
    <t>Network Modeling Analysis in Health Informatics and Bioinformatics</t>
  </si>
  <si>
    <t>2192-6670</t>
  </si>
  <si>
    <t>Iranian Polymer Journal</t>
  </si>
  <si>
    <t>1735-5265</t>
  </si>
  <si>
    <t>CEN Case Reports</t>
  </si>
  <si>
    <t>2192-4449</t>
  </si>
  <si>
    <t>International Journal of Multimedia Information Retrieval</t>
  </si>
  <si>
    <t>2192-662X</t>
  </si>
  <si>
    <t>Journal of the Iranian Chemical Society</t>
  </si>
  <si>
    <t>1735-2428</t>
  </si>
  <si>
    <t>Neotropical Entomology</t>
  </si>
  <si>
    <t>1678-8052</t>
  </si>
  <si>
    <t>Progress in Artificial Intelligence</t>
  </si>
  <si>
    <t>2192-6360</t>
  </si>
  <si>
    <t>Biological Theory</t>
  </si>
  <si>
    <t>1555-5550</t>
  </si>
  <si>
    <t>Health Information Science and Systems</t>
  </si>
  <si>
    <t>2047-2501</t>
  </si>
  <si>
    <t>Acta Neurologica Belgica</t>
  </si>
  <si>
    <t>2240-2993</t>
  </si>
  <si>
    <t>International Journal of Environmental Science and Technology</t>
  </si>
  <si>
    <t>1735-2630</t>
  </si>
  <si>
    <t>Tissue Engineering and Regenerative Medicine</t>
  </si>
  <si>
    <t>2212-5469</t>
  </si>
  <si>
    <t>Infection</t>
  </si>
  <si>
    <t>1439-0973</t>
  </si>
  <si>
    <t>HeilberufeScience</t>
  </si>
  <si>
    <t>2190-2100</t>
  </si>
  <si>
    <t>Wirtschaftsinformatik &amp; Management</t>
  </si>
  <si>
    <t>1867-5913</t>
  </si>
  <si>
    <t>Zeitschrift für Bildungsforschung</t>
  </si>
  <si>
    <t>2190-6904</t>
  </si>
  <si>
    <t>Agricultural Research</t>
  </si>
  <si>
    <t>2249-7218</t>
  </si>
  <si>
    <t>Journal of Pharmaceutical Investigation</t>
  </si>
  <si>
    <t>2093-6214</t>
  </si>
  <si>
    <t>National Academy Science Letters</t>
  </si>
  <si>
    <t>Science, Humanities and Social Sciences, multidisciplinary</t>
  </si>
  <si>
    <t>2250-1754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</si>
  <si>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</si>
  <si>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</si>
  <si>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</si>
  <si>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</si>
  <si>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CSI Transactions on ICT</t>
  </si>
  <si>
    <t>2277-9086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</si>
  <si>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</si>
  <si>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</si>
  <si>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</si>
  <si>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</si>
  <si>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</si>
  <si>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</si>
  <si>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</si>
  <si>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</si>
  <si>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</si>
  <si>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</si>
  <si>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Korean Physical Society</t>
  </si>
  <si>
    <t>1976-8524</t>
  </si>
  <si>
    <t>Journal of Homotopy and Related Structures</t>
  </si>
  <si>
    <t>1512-2891</t>
  </si>
  <si>
    <t>Arabian Journal of Mathematics</t>
  </si>
  <si>
    <t>2193-5351</t>
  </si>
  <si>
    <t>Stochastics and Partial Differential Equations: Analysis and Computations</t>
  </si>
  <si>
    <t>2194-041X</t>
  </si>
  <si>
    <t>Indian Geotechnical Journal</t>
  </si>
  <si>
    <t>2277-3347</t>
  </si>
  <si>
    <t>Current Pediatrics Reports</t>
  </si>
  <si>
    <t>2167-4841</t>
  </si>
  <si>
    <t>Current Radiology Reports</t>
  </si>
  <si>
    <t>2167-4825</t>
  </si>
  <si>
    <t>Current Ophthalmology Reports</t>
  </si>
  <si>
    <t>2167-4868</t>
  </si>
  <si>
    <t>Current Otorhinolaryngology Reports</t>
  </si>
  <si>
    <t>2167-583X</t>
  </si>
  <si>
    <t>Current Surgery Reports</t>
  </si>
  <si>
    <t>2167-4817</t>
  </si>
  <si>
    <t>Current Emergency and Hospital Medicine Reports</t>
  </si>
  <si>
    <t>2167-4884</t>
  </si>
  <si>
    <t>Current Anesthesiology Reports</t>
  </si>
  <si>
    <t>2167-6275</t>
  </si>
  <si>
    <t>Current Physical Medicine and Rehabilitation Reports</t>
  </si>
  <si>
    <t>2167-4833</t>
  </si>
  <si>
    <t>Current Genetic Medicine Reports</t>
  </si>
  <si>
    <t>2167-4876</t>
  </si>
  <si>
    <t>Maritime Studies</t>
  </si>
  <si>
    <t>2212-9790</t>
  </si>
  <si>
    <t>Global Journal of Flexible Systems Management</t>
  </si>
  <si>
    <t>0974-0198</t>
  </si>
  <si>
    <t>Integrating Materials and Manufacturing Innovation</t>
  </si>
  <si>
    <t>2193-9772</t>
  </si>
  <si>
    <t>Welding in the World</t>
  </si>
  <si>
    <t>1878-6669</t>
  </si>
  <si>
    <t>Acta Metallurgica Sinica (English Letters)</t>
  </si>
  <si>
    <t>2194-1289</t>
  </si>
  <si>
    <t>DARU Journal of Pharmaceutical Sciences</t>
  </si>
  <si>
    <t>2008-2231</t>
  </si>
  <si>
    <t>Journal of Diabetes &amp; Metabolic Disorders</t>
  </si>
  <si>
    <t>2251-6581</t>
  </si>
  <si>
    <t>Journal of Environmental Health Science and Engineering</t>
  </si>
  <si>
    <t>2052-336X</t>
  </si>
  <si>
    <t>In Silico Pharmacology</t>
  </si>
  <si>
    <t>2193-9616</t>
  </si>
  <si>
    <t>Neuropsychiatrie</t>
  </si>
  <si>
    <t>2194-1327</t>
  </si>
  <si>
    <t>Chemical Research in Chinese Universities</t>
  </si>
  <si>
    <t>2210-3171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</si>
  <si>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</si>
  <si>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</si>
  <si>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</si>
  <si>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</si>
  <si>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</si>
  <si>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</si>
  <si>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</si>
  <si>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</si>
  <si>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</si>
  <si>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</si>
  <si>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</si>
  <si>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</si>
  <si>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</si>
  <si>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</si>
  <si>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</si>
  <si>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</si>
  <si>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</si>
  <si>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</si>
  <si>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</si>
  <si>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</si>
  <si>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</si>
  <si>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</si>
  <si>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The Patient - Patient-Centered Outcomes Research</t>
  </si>
  <si>
    <t>1178-1661</t>
  </si>
  <si>
    <t>Pediatric Drugs</t>
  </si>
  <si>
    <t>1179-2019</t>
  </si>
  <si>
    <t>PharmacoEconomics</t>
  </si>
  <si>
    <t>1179-2027</t>
  </si>
  <si>
    <t>Sports Medicine</t>
  </si>
  <si>
    <t>1179-2035</t>
  </si>
  <si>
    <t>Pharmaceutical Medicine</t>
  </si>
  <si>
    <t>1179-1993</t>
  </si>
  <si>
    <t>Molecular Diagnosis &amp; Therapy</t>
  </si>
  <si>
    <t>1179-2000</t>
  </si>
  <si>
    <t>High Blood Pressure &amp; Cardiovascular Prevention</t>
  </si>
  <si>
    <t>1179-1985</t>
  </si>
  <si>
    <t>The Journal of the Astronautical Sciences</t>
  </si>
  <si>
    <t>2195-0571</t>
  </si>
  <si>
    <t>The Asia-Pacific Education Researcher</t>
  </si>
  <si>
    <t>2243-7908</t>
  </si>
  <si>
    <t>Metron</t>
  </si>
  <si>
    <t>2281-695X</t>
  </si>
  <si>
    <t>Communications in Mathematics and Statistics</t>
  </si>
  <si>
    <t>2194-671X</t>
  </si>
  <si>
    <t>Journal of the Operations Research Society of China</t>
  </si>
  <si>
    <t>2194-6698</t>
  </si>
  <si>
    <t>Acta Mathematica Vietnamica</t>
  </si>
  <si>
    <t>2315-4144</t>
  </si>
  <si>
    <t>Journal of Control, Automation and Electrical Systems</t>
  </si>
  <si>
    <t>2195-3899</t>
  </si>
  <si>
    <t>Computational and Applied Mathematics</t>
  </si>
  <si>
    <t>1807-0302</t>
  </si>
  <si>
    <t>Computational Methods and Function Theory</t>
  </si>
  <si>
    <t>2195-3724</t>
  </si>
  <si>
    <t>Annales mathématiques du Québec</t>
  </si>
  <si>
    <t>2195-4763</t>
  </si>
  <si>
    <t>The International Sports Law Journal</t>
  </si>
  <si>
    <t>2213-5154</t>
  </si>
  <si>
    <t>IIC - International Review of Intellectual Property and Competition Law</t>
  </si>
  <si>
    <t>2195-0237</t>
  </si>
  <si>
    <t>SeMA Journal</t>
  </si>
  <si>
    <t>2281-7875</t>
  </si>
  <si>
    <t>Acta Geodaetica et Geophysica</t>
  </si>
  <si>
    <t>2213-5820</t>
  </si>
  <si>
    <t>Journal of Arid Land</t>
  </si>
  <si>
    <t>2194-7783</t>
  </si>
  <si>
    <t>Physical Mesomechanics</t>
  </si>
  <si>
    <t>1990-5424</t>
  </si>
  <si>
    <t>Clinical and Translational Imaging</t>
  </si>
  <si>
    <t>2281-7565</t>
  </si>
  <si>
    <t>European Archives of Paediatric Dentistry</t>
  </si>
  <si>
    <t>1996-9805</t>
  </si>
  <si>
    <t>Brazilian Journal of Botany</t>
  </si>
  <si>
    <t>1806-9959</t>
  </si>
  <si>
    <t>Current Addiction Reports</t>
  </si>
  <si>
    <t>2196-2952</t>
  </si>
  <si>
    <t>Journal of the Brazilian Society of Mechanical Sciences and Engineering</t>
  </si>
  <si>
    <t>1806-3691</t>
  </si>
  <si>
    <t>International Journal of Dynamics and Control</t>
  </si>
  <si>
    <t>2195-2698</t>
  </si>
  <si>
    <t>Advances in Manufacturing</t>
  </si>
  <si>
    <t>2195-3597</t>
  </si>
  <si>
    <t>Current Epidemiology Reports</t>
  </si>
  <si>
    <t>2196-2995</t>
  </si>
  <si>
    <t>Current Transplantation Reports</t>
  </si>
  <si>
    <t>2196-3029</t>
  </si>
  <si>
    <t>Current Behavioral Neuroscience Reports</t>
  </si>
  <si>
    <t>2196-2979</t>
  </si>
  <si>
    <t>Current Developmental Disorders Reports</t>
  </si>
  <si>
    <t>2196-2987</t>
  </si>
  <si>
    <t>Current Tropical Medicine Reports</t>
  </si>
  <si>
    <t>2196-3045</t>
  </si>
  <si>
    <t>Journal of Ultrasound</t>
  </si>
  <si>
    <t>1876-7931</t>
  </si>
  <si>
    <t>Review Journal of Autism and Developmental Disorders</t>
  </si>
  <si>
    <t>2195-7185</t>
  </si>
  <si>
    <t>Current Pharmacology Reports</t>
  </si>
  <si>
    <t>2198-641X</t>
  </si>
  <si>
    <t>Current Oral Health Reports</t>
  </si>
  <si>
    <t>2196-3002</t>
  </si>
  <si>
    <t>Journal of Global Entrepreneurship Research</t>
  </si>
  <si>
    <t>2251-7316</t>
  </si>
  <si>
    <t>Current Treatment Options in Psychiatry</t>
  </si>
  <si>
    <t>2196-3061</t>
  </si>
  <si>
    <t>Plant Physiology Reports</t>
  </si>
  <si>
    <t>2662-2548</t>
  </si>
  <si>
    <t>Economic Theory Bulletin</t>
  </si>
  <si>
    <t>2196-1093</t>
  </si>
  <si>
    <t>Current Treatment Options in Infectious Diseases</t>
  </si>
  <si>
    <t>1534-6250</t>
  </si>
  <si>
    <t>Quantum Studies: Mathematics and Foundations</t>
  </si>
  <si>
    <t>2196-5617</t>
  </si>
  <si>
    <t>Transportation Infrastructure Geotechnology</t>
  </si>
  <si>
    <t>2196-7210</t>
  </si>
  <si>
    <t>Lasers in Manufacturing and Materials Processing</t>
  </si>
  <si>
    <t>2196-7237</t>
  </si>
  <si>
    <t>Current Sustainable/Renewable Energy Reports</t>
  </si>
  <si>
    <t>2196-3010</t>
  </si>
  <si>
    <t>Current Treatment Options in Allergy</t>
  </si>
  <si>
    <t>2196-3053</t>
  </si>
  <si>
    <t>Customer Needs and Solutions</t>
  </si>
  <si>
    <t>2196-2928</t>
  </si>
  <si>
    <t>Information Technology &amp; Tourism</t>
  </si>
  <si>
    <t>1943-4294</t>
  </si>
  <si>
    <t>Computational Particle Mechanics</t>
  </si>
  <si>
    <t>2196-4386</t>
  </si>
  <si>
    <t>Current Environmental Health Reports</t>
  </si>
  <si>
    <t>2196-5412</t>
  </si>
  <si>
    <t>Zeitschrift für Didaktik der Naturwissenschaften</t>
  </si>
  <si>
    <t>2197-988X</t>
  </si>
  <si>
    <t>Bollettino dell'Unione Matematica Italiana</t>
  </si>
  <si>
    <t>2198-2759</t>
  </si>
  <si>
    <t>Current Clinical Microbiology Reports</t>
  </si>
  <si>
    <t>2196-5471</t>
  </si>
  <si>
    <t>Boletín de la Sociedad Matemática Mexicana</t>
  </si>
  <si>
    <t>2296-4495</t>
  </si>
  <si>
    <t>Monash bioethics review</t>
  </si>
  <si>
    <t>1836-6716</t>
  </si>
  <si>
    <t>International Journal of Artificial Intelligence in Education</t>
  </si>
  <si>
    <t>1560-4306</t>
  </si>
  <si>
    <t>Academic Psychiatry</t>
  </si>
  <si>
    <t>1545-7230</t>
  </si>
  <si>
    <t>Global Social Welfare</t>
  </si>
  <si>
    <t>2196-8799</t>
  </si>
  <si>
    <t>Current Molecular Biology Reports</t>
  </si>
  <si>
    <t>2198-6428</t>
  </si>
  <si>
    <t>Perspectives on Behavior Science</t>
  </si>
  <si>
    <t>2520-8977</t>
  </si>
  <si>
    <t>Journal of Racial and Ethnic Health Disparities</t>
  </si>
  <si>
    <t>2196-8837</t>
  </si>
  <si>
    <t>The Analysis of Verbal Behavior</t>
  </si>
  <si>
    <t>2196-8926</t>
  </si>
  <si>
    <t>Behavior Analysis in Practice</t>
  </si>
  <si>
    <t>2196-8934</t>
  </si>
  <si>
    <t>Journal of Endocrinological Investigation</t>
  </si>
  <si>
    <t>1720-8386</t>
  </si>
  <si>
    <t>L'Endocrinologo</t>
  </si>
  <si>
    <t>1720-8351</t>
  </si>
  <si>
    <t>Journal of Nephrology</t>
  </si>
  <si>
    <t>1724-6059</t>
  </si>
  <si>
    <t>Decision</t>
  </si>
  <si>
    <t>2197-1722</t>
  </si>
  <si>
    <t>Theoretical and Experimental Plant Physiology</t>
  </si>
  <si>
    <t>2197-0025</t>
  </si>
  <si>
    <t>Complex Analysis and its Synergies</t>
  </si>
  <si>
    <t>2197-120X</t>
  </si>
  <si>
    <t>Allergo Journal International</t>
  </si>
  <si>
    <t>2197-0378</t>
  </si>
  <si>
    <t>International Communication of Chinese Culture</t>
  </si>
  <si>
    <t>2197-4241</t>
  </si>
  <si>
    <t>Current Climate Change Reports</t>
  </si>
  <si>
    <t>2198-6061</t>
  </si>
  <si>
    <t>Fudan Journal of the Humanities and Social Sciences</t>
  </si>
  <si>
    <t>2198-2600</t>
  </si>
  <si>
    <t>Journal of Child &amp; Adolescent Trauma</t>
  </si>
  <si>
    <t>1936-153X</t>
  </si>
  <si>
    <t>History and Philosophy of the Life Sciences</t>
  </si>
  <si>
    <t>1742-6316</t>
  </si>
  <si>
    <t>Zentralblatt für Arbeitsmedizin, Arbeitsschutz und Ergonomie</t>
  </si>
  <si>
    <t>2198-0713</t>
  </si>
  <si>
    <t>Medical Science Educator</t>
  </si>
  <si>
    <t>2156-8650</t>
  </si>
  <si>
    <t>Current Treatment Options in Rheumatology</t>
  </si>
  <si>
    <t>2198-6002</t>
  </si>
  <si>
    <t>Current Sleep Medicine Reports</t>
  </si>
  <si>
    <t>2198-6401</t>
  </si>
  <si>
    <t>international journal of precision engineering and manufacturing-green technology</t>
  </si>
  <si>
    <t>2198-0810</t>
  </si>
  <si>
    <t>Research in the Mathematical Sciences</t>
  </si>
  <si>
    <t>2197-9847</t>
  </si>
  <si>
    <t>Contemporary School Psychology</t>
  </si>
  <si>
    <t>2161-1505</t>
  </si>
  <si>
    <t>Journal of Computers in Education</t>
  </si>
  <si>
    <t>2197-9995</t>
  </si>
  <si>
    <t>HMD Praxis der Wirtschaftsinformatik</t>
  </si>
  <si>
    <t>2198-2775</t>
  </si>
  <si>
    <t>Environmental Processes</t>
  </si>
  <si>
    <t>2198-7505</t>
  </si>
  <si>
    <t>Current Trauma Reports</t>
  </si>
  <si>
    <t>2198-6096</t>
  </si>
  <si>
    <t>Journal of Ocean Engineering and Marine Energy</t>
  </si>
  <si>
    <t>2198-6452</t>
  </si>
  <si>
    <t>Current Forestry Reports</t>
  </si>
  <si>
    <t>2198-6436</t>
  </si>
  <si>
    <t>Current Pollution Reports</t>
  </si>
  <si>
    <t>2198-6592</t>
  </si>
  <si>
    <t>The Psychological Record</t>
  </si>
  <si>
    <t>2163-3452</t>
  </si>
  <si>
    <t>Journal of Bio- and Tribo-Corrosion</t>
  </si>
  <si>
    <t>2198-4239</t>
  </si>
  <si>
    <t>Journal of Psychosocial Rehabilitation and Mental Health</t>
  </si>
  <si>
    <t>2198-963X</t>
  </si>
  <si>
    <t>Annals of Data Science</t>
  </si>
  <si>
    <t>2198-5812</t>
  </si>
  <si>
    <t>Current Treatment Options in Pediatrics</t>
  </si>
  <si>
    <t>2198-6088</t>
  </si>
  <si>
    <t>Adaptive Human Behavior and Physiology</t>
  </si>
  <si>
    <t>2198-7335</t>
  </si>
  <si>
    <t>Digital Experiences in Mathematics Education</t>
  </si>
  <si>
    <t>2199-3254</t>
  </si>
  <si>
    <t>International Journal of Research in Undergraduate Mathematics Education</t>
  </si>
  <si>
    <t>2198-9753</t>
  </si>
  <si>
    <t>La Rivista del Nuovo Cimento</t>
  </si>
  <si>
    <t>1826-9850</t>
  </si>
  <si>
    <t>Current Stem Cell Reports</t>
  </si>
  <si>
    <t>2198-7866</t>
  </si>
  <si>
    <t>Italian Economic Journal</t>
  </si>
  <si>
    <t>2199-3238</t>
  </si>
  <si>
    <t>Experimental Techniques</t>
  </si>
  <si>
    <t>1747-1567</t>
  </si>
  <si>
    <t>Netherlands International Law Review</t>
  </si>
  <si>
    <t>1741-6191</t>
  </si>
  <si>
    <t>Hague Journal on the Rule of Law</t>
  </si>
  <si>
    <t>1876-4053</t>
  </si>
  <si>
    <t>European Business Organization Law Review</t>
  </si>
  <si>
    <t>1741-6205</t>
  </si>
  <si>
    <t>Evolutionary Psychological Science</t>
  </si>
  <si>
    <t>2198-9885</t>
  </si>
  <si>
    <t>Modeling Earth Systems and Environment</t>
  </si>
  <si>
    <t>2363-6211</t>
  </si>
  <si>
    <t>Journal of Industrial and Business Economics</t>
  </si>
  <si>
    <t>1972-4977</t>
  </si>
  <si>
    <t>International Journal of Fuzzy Systems</t>
  </si>
  <si>
    <t>2199-3211</t>
  </si>
  <si>
    <t>Annals of PDE</t>
  </si>
  <si>
    <t>2199-2576</t>
  </si>
  <si>
    <t>International Journal of Applied and Computational Mathematics</t>
  </si>
  <si>
    <t>2199-5796</t>
  </si>
  <si>
    <t>Eurasian Business Review</t>
  </si>
  <si>
    <t>2147-4281</t>
  </si>
  <si>
    <t>Eurasian Economic Review</t>
  </si>
  <si>
    <t>2147-429X</t>
  </si>
  <si>
    <t>Current Landscape Ecology Reports</t>
  </si>
  <si>
    <t>2364-494X</t>
  </si>
  <si>
    <t>Emission Control Science and Technology</t>
  </si>
  <si>
    <t>2199-3637</t>
  </si>
  <si>
    <t>ChemTexts</t>
  </si>
  <si>
    <t>2199-3793</t>
  </si>
  <si>
    <t>Shape Memory and Superelasticity</t>
  </si>
  <si>
    <t>2199-3858</t>
  </si>
  <si>
    <t>Journal of Sustainable Metallurgy</t>
  </si>
  <si>
    <t>2199-3831</t>
  </si>
  <si>
    <t>Journal of Religious Education</t>
  </si>
  <si>
    <t>2199-4625</t>
  </si>
  <si>
    <t>Bulletin of the Malaysian Mathematical Sciences Society</t>
  </si>
  <si>
    <t>2180-4206</t>
  </si>
  <si>
    <t>New Zealand Journal of Educational Studies</t>
  </si>
  <si>
    <t>2199-4714</t>
  </si>
  <si>
    <t>Science China Materials</t>
  </si>
  <si>
    <t>2199-4501</t>
  </si>
  <si>
    <t>Evolutionary and Institutional Economics Review</t>
  </si>
  <si>
    <t>2188-2096</t>
  </si>
  <si>
    <t>Journal of Medical and Biological Engineering</t>
  </si>
  <si>
    <t>2199-4757</t>
  </si>
  <si>
    <t>Journal of Social and Economic Development</t>
  </si>
  <si>
    <t>2199-6873</t>
  </si>
  <si>
    <t>Acoustics Australia</t>
  </si>
  <si>
    <t>1839-2571</t>
  </si>
  <si>
    <t>Tropical Plant Pathology</t>
  </si>
  <si>
    <t>1983-2052</t>
  </si>
  <si>
    <t>Journal of Reliable Intelligent Environments</t>
  </si>
  <si>
    <t>2199-4676</t>
  </si>
  <si>
    <t>São Paulo Journal of Mathematical Sciences</t>
  </si>
  <si>
    <t>2316-9028</t>
  </si>
  <si>
    <t>Journal of Developmental and Life-Course Criminology</t>
  </si>
  <si>
    <t>2199-465X</t>
  </si>
  <si>
    <t>Smart Grids and Sustainable Energy</t>
  </si>
  <si>
    <t>2731-8087</t>
  </si>
  <si>
    <t>Marine Systems &amp; Ocean Technology</t>
  </si>
  <si>
    <t>2199-4749</t>
  </si>
  <si>
    <t>Journal of Dynamic Behavior of Materials</t>
  </si>
  <si>
    <t>2199-7454</t>
  </si>
  <si>
    <t>European Journal of Mathematics</t>
  </si>
  <si>
    <t>2199-6768</t>
  </si>
  <si>
    <t>Regenerative Engineering and Translational Medicine</t>
  </si>
  <si>
    <t>2364-4141</t>
  </si>
  <si>
    <t>Economia Politica</t>
  </si>
  <si>
    <t>1973-820X</t>
  </si>
  <si>
    <t>International Journal of Ethics Education</t>
  </si>
  <si>
    <t>2364-0006</t>
  </si>
  <si>
    <t>Transportation in Developing Economies</t>
  </si>
  <si>
    <t>2199-9295</t>
  </si>
  <si>
    <t>International Journal of Geosynthetics and Ground Engineering</t>
  </si>
  <si>
    <t>2199-9279</t>
  </si>
  <si>
    <t>Adolescent Research Review</t>
  </si>
  <si>
    <t>2363-8354</t>
  </si>
  <si>
    <t>Sustainable Water Resources Management</t>
  </si>
  <si>
    <t>2363-5045</t>
  </si>
  <si>
    <t>Philosophy of Management</t>
  </si>
  <si>
    <t>2052-9597</t>
  </si>
  <si>
    <t>Glass Structures &amp; Engineering</t>
  </si>
  <si>
    <t>2363-5150</t>
  </si>
  <si>
    <t>Indian Journal of Gynecologic Oncology</t>
  </si>
  <si>
    <t>2363-8400</t>
  </si>
  <si>
    <t>Journal of Quantitative Economics</t>
  </si>
  <si>
    <t>2364-1045</t>
  </si>
  <si>
    <t>Journal of Indian Council of Philosophical Research</t>
  </si>
  <si>
    <t>2363-9962</t>
  </si>
  <si>
    <t>International Journal of Metalcasting</t>
  </si>
  <si>
    <t>2163-3193</t>
  </si>
  <si>
    <t>Progress in Additive Manufacturing</t>
  </si>
  <si>
    <t>2363-9520</t>
  </si>
  <si>
    <t>Energy, Ecology and Environment</t>
  </si>
  <si>
    <t>2363-8338</t>
  </si>
  <si>
    <t>Spatial Demography</t>
  </si>
  <si>
    <t>2164-7070</t>
  </si>
  <si>
    <t>Research in Number Theory</t>
  </si>
  <si>
    <t>2363-9555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</si>
  <si>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</si>
  <si>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</si>
  <si>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</si>
  <si>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</si>
  <si>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Mechanical Engineering</t>
  </si>
  <si>
    <t>2364-1835</t>
  </si>
  <si>
    <t>Iranian Journal of Science and Technology, Transactions of Electrical Engineering</t>
  </si>
  <si>
    <t>2364-1827</t>
  </si>
  <si>
    <t>International Journal of Civil Engineering</t>
  </si>
  <si>
    <t>2383-3874</t>
  </si>
  <si>
    <t>Jindal Global Law Review</t>
  </si>
  <si>
    <t>2364-4869</t>
  </si>
  <si>
    <t>Journal of Building Pathology and Rehabilitation</t>
  </si>
  <si>
    <t>2365-3167</t>
  </si>
  <si>
    <t>The Indian Journal of Labour Economics</t>
  </si>
  <si>
    <t>0019-5308</t>
  </si>
  <si>
    <t>International Journal of Applied Positive Psychology</t>
  </si>
  <si>
    <t>2364-5059</t>
  </si>
  <si>
    <t>Polytechnica</t>
  </si>
  <si>
    <t>2520-8063</t>
  </si>
  <si>
    <t>Food Ethics</t>
  </si>
  <si>
    <t>2364-6861</t>
  </si>
  <si>
    <t>International Journal of Data Science and Analytics</t>
  </si>
  <si>
    <t>2364-4168</t>
  </si>
  <si>
    <t>Topics in Current Chemistry</t>
  </si>
  <si>
    <t>2364-8961</t>
  </si>
  <si>
    <t>Innovative Infrastructure Solutions</t>
  </si>
  <si>
    <t>2364-4184</t>
  </si>
  <si>
    <t>PFG – Journal of Photogrammetry, Remote Sensing and Geoinformation Science</t>
  </si>
  <si>
    <t>2512-2819</t>
  </si>
  <si>
    <t>Journal of the Indian Society for Probability and Statistics</t>
  </si>
  <si>
    <t>2364-9569</t>
  </si>
  <si>
    <t>Water Conservation Science and Engineering</t>
  </si>
  <si>
    <t>2364-5687</t>
  </si>
  <si>
    <t>Sleep and Biological Rhythms</t>
  </si>
  <si>
    <t>1479-8425</t>
  </si>
  <si>
    <t>Nutrire</t>
  </si>
  <si>
    <t>2316-7874</t>
  </si>
  <si>
    <t>Chinese Political Science Review</t>
  </si>
  <si>
    <t>2365-4252</t>
  </si>
  <si>
    <t>European Journal for Security Research</t>
  </si>
  <si>
    <t>2365-1695</t>
  </si>
  <si>
    <t>Graphene and 2D Materials</t>
  </si>
  <si>
    <t>2731-6513</t>
  </si>
  <si>
    <t>Review of Agricultural, Food and Environmental Studies</t>
  </si>
  <si>
    <t>2425-6897</t>
  </si>
  <si>
    <t>Augmented Human Research</t>
  </si>
  <si>
    <t>2365-4325</t>
  </si>
  <si>
    <t>Journal of Human Rights and Social Work</t>
  </si>
  <si>
    <t>2365-1792</t>
  </si>
  <si>
    <t>Nanotechnology for Environmental Engineering</t>
  </si>
  <si>
    <t>2365-6387</t>
  </si>
  <si>
    <t>Euro-Mediterranean Journal for Environmental Integration</t>
  </si>
  <si>
    <t>2365-7448</t>
  </si>
  <si>
    <t>Thalassas: An International Journal of Marine Sciences</t>
  </si>
  <si>
    <t>2366-1674</t>
  </si>
  <si>
    <t>China Foundry</t>
  </si>
  <si>
    <t>2365-9459</t>
  </si>
  <si>
    <t>Quality and User Experience</t>
  </si>
  <si>
    <t>2366-0147</t>
  </si>
  <si>
    <t>Behaviormetrika</t>
  </si>
  <si>
    <t>1349-6964</t>
  </si>
  <si>
    <t>Zeitschrift für Literaturwissenschaft und Linguistik</t>
  </si>
  <si>
    <t>2365-953X</t>
  </si>
  <si>
    <t>Deutsche Vierteljahrsschrift für Literaturwissenschaft und Geistesgeschichte</t>
  </si>
  <si>
    <t>2365-9521</t>
  </si>
  <si>
    <t>Biophysical Economics and Sustainability</t>
  </si>
  <si>
    <t>2730-7204</t>
  </si>
  <si>
    <t>Advances in Neurodevelopmental Disorders</t>
  </si>
  <si>
    <t>2366-7540</t>
  </si>
  <si>
    <t>French Politics</t>
  </si>
  <si>
    <t>1476-3427</t>
  </si>
  <si>
    <t>Place Branding and Public Diplomacy</t>
  </si>
  <si>
    <t>1751-8059</t>
  </si>
  <si>
    <t>Journal of Asset Management</t>
  </si>
  <si>
    <t>1479-179X</t>
  </si>
  <si>
    <t>Journal of Banking Regulation</t>
  </si>
  <si>
    <t>1750-2071</t>
  </si>
  <si>
    <t>Journal of Brand Management</t>
  </si>
  <si>
    <t>1479-1803</t>
  </si>
  <si>
    <t>Journal of Financial Services Marketing</t>
  </si>
  <si>
    <t>1479-1846</t>
  </si>
  <si>
    <t>Journal of International Business Studies</t>
  </si>
  <si>
    <t>1478-6990</t>
  </si>
  <si>
    <t>Acta Politica</t>
  </si>
  <si>
    <t>1741-1416</t>
  </si>
  <si>
    <t>Journal of Marketing Analytics</t>
  </si>
  <si>
    <t>2050-3326</t>
  </si>
  <si>
    <t>Journal of Public Health Policy</t>
  </si>
  <si>
    <t>1745-655X</t>
  </si>
  <si>
    <t>Journal of Revenue and Pricing Management</t>
  </si>
  <si>
    <t>1477-657X</t>
  </si>
  <si>
    <t>Latino Studies</t>
  </si>
  <si>
    <t>1476-3443</t>
  </si>
  <si>
    <t>Maritime Economics &amp; Logistics</t>
  </si>
  <si>
    <t>1479-294X</t>
  </si>
  <si>
    <t>postmedieval</t>
  </si>
  <si>
    <t>2040-5979</t>
  </si>
  <si>
    <t>Psychoanalysis, Culture &amp; Society</t>
  </si>
  <si>
    <t>1543-3390</t>
  </si>
  <si>
    <t>Risk Management</t>
  </si>
  <si>
    <t>1743-4637</t>
  </si>
  <si>
    <t>Security Journal</t>
  </si>
  <si>
    <t>1743-4645</t>
  </si>
  <si>
    <t>Social Theory &amp; Health</t>
  </si>
  <si>
    <t>1477-822X</t>
  </si>
  <si>
    <t>Subjectivity</t>
  </si>
  <si>
    <t>1755-635X</t>
  </si>
  <si>
    <t>The European Journal of Development Research</t>
  </si>
  <si>
    <t>1743-9728</t>
  </si>
  <si>
    <t>The GENEVA Papers on Risk and Insurance - Issues and Practice</t>
  </si>
  <si>
    <t>1468-0440</t>
  </si>
  <si>
    <t>Urban Design International</t>
  </si>
  <si>
    <t>Architecture / Design</t>
  </si>
  <si>
    <t>1468-4519</t>
  </si>
  <si>
    <t>American Journal of Cultural Sociology</t>
  </si>
  <si>
    <t>2049-7121</t>
  </si>
  <si>
    <t>Asian Business &amp; Management</t>
  </si>
  <si>
    <t>1476-9328</t>
  </si>
  <si>
    <t>BioSocieties</t>
  </si>
  <si>
    <t>1745-8560</t>
  </si>
  <si>
    <t>British Politics</t>
  </si>
  <si>
    <t>1746-9198</t>
  </si>
  <si>
    <t>Comparative Economic Studies</t>
  </si>
  <si>
    <t>1478-3320</t>
  </si>
  <si>
    <t>Comparative European Politics</t>
  </si>
  <si>
    <t>1740-388X</t>
  </si>
  <si>
    <t>Contemporary political theory</t>
  </si>
  <si>
    <t>1476-9336</t>
  </si>
  <si>
    <t>Curriculum Perspectives</t>
  </si>
  <si>
    <t>2367-1793</t>
  </si>
  <si>
    <t>Corporate Reputation Review</t>
  </si>
  <si>
    <t>1479-1889</t>
  </si>
  <si>
    <t>Crime Prevention and Community Safety</t>
  </si>
  <si>
    <t>1743-4629</t>
  </si>
  <si>
    <t>Eastern economic journal</t>
  </si>
  <si>
    <t>1939-4632</t>
  </si>
  <si>
    <t>European Political Science</t>
  </si>
  <si>
    <t>1682-0983</t>
  </si>
  <si>
    <t>Higher Education Policy</t>
  </si>
  <si>
    <t>1740-3863</t>
  </si>
  <si>
    <t>Interest Groups &amp; Advocacy</t>
  </si>
  <si>
    <t>2047-7422</t>
  </si>
  <si>
    <t>International Journal of Disclosure and Governance</t>
  </si>
  <si>
    <t>1746-6539</t>
  </si>
  <si>
    <t>International Politics</t>
  </si>
  <si>
    <t>1740-3898</t>
  </si>
  <si>
    <t>International Journal of Intelligent Robotics and Applications</t>
  </si>
  <si>
    <t>2366-598X</t>
  </si>
  <si>
    <t>Spatial Information Research</t>
  </si>
  <si>
    <t>2366-3294</t>
  </si>
  <si>
    <t>Journal of Technology in Behavioral Science</t>
  </si>
  <si>
    <t>2366-5963</t>
  </si>
  <si>
    <t>Journal of Plant Diseases and Protection</t>
  </si>
  <si>
    <t>1861-3837</t>
  </si>
  <si>
    <t>Zeitschrift für Politikwissenschaft</t>
  </si>
  <si>
    <t>2366-2638</t>
  </si>
  <si>
    <t>Nuclear Science and Techniques</t>
  </si>
  <si>
    <t>2210-3147</t>
  </si>
  <si>
    <t>International Journal of Obesity</t>
  </si>
  <si>
    <t>1476-5497</t>
  </si>
  <si>
    <t>Journal of Exposure Science &amp; Environmental Epidemiology</t>
  </si>
  <si>
    <t>1559-064X</t>
  </si>
  <si>
    <t>Journal of Human Hypertension</t>
  </si>
  <si>
    <t>1476-5527</t>
  </si>
  <si>
    <t>Journal of Perinatology</t>
  </si>
  <si>
    <t>1476-5543</t>
  </si>
  <si>
    <t>Leukemia</t>
  </si>
  <si>
    <t>1476-5551</t>
  </si>
  <si>
    <t>Molecular Psychiatry</t>
  </si>
  <si>
    <t>1476-5578</t>
  </si>
  <si>
    <t>Neuropsychopharmacology</t>
  </si>
  <si>
    <t>1740-634X</t>
  </si>
  <si>
    <t>Oncogene</t>
  </si>
  <si>
    <t>1476-5594</t>
  </si>
  <si>
    <t>Pediatric Research</t>
  </si>
  <si>
    <t>1530-0447</t>
  </si>
  <si>
    <t>Prostate Cancer and Prostatic Diseases</t>
  </si>
  <si>
    <t>1476-5608</t>
  </si>
  <si>
    <t>Spinal Cord</t>
  </si>
  <si>
    <t>1476-5624</t>
  </si>
  <si>
    <t>Spinal Cord Series and Cases</t>
  </si>
  <si>
    <t>2058-6124</t>
  </si>
  <si>
    <t>The Pharmacogenomics Journal</t>
  </si>
  <si>
    <t>1473-1150</t>
  </si>
  <si>
    <t>Acta Pharmacologica Sinica</t>
  </si>
  <si>
    <t>1745-7254</t>
  </si>
  <si>
    <t>Transactions of the Indian National Academy of Engineering</t>
  </si>
  <si>
    <t>2662-5423</t>
  </si>
  <si>
    <t>Bone Marrow Transplantation</t>
  </si>
  <si>
    <t>1476-5365</t>
  </si>
  <si>
    <t>Homo Oeconomicus</t>
  </si>
  <si>
    <t>2366-6161</t>
  </si>
  <si>
    <t>British Dental Journal</t>
  </si>
  <si>
    <t>1476-5373</t>
  </si>
  <si>
    <t>British Journal of Cancer</t>
  </si>
  <si>
    <t>1532-1827</t>
  </si>
  <si>
    <t>Cancer Gene Therapy</t>
  </si>
  <si>
    <t>1476-5500</t>
  </si>
  <si>
    <t>Cell Death &amp; Differentiation</t>
  </si>
  <si>
    <t>1476-5403</t>
  </si>
  <si>
    <t>Cell Research</t>
  </si>
  <si>
    <t>1748-7838</t>
  </si>
  <si>
    <t>Cellular &amp; Molecular Immunology</t>
  </si>
  <si>
    <t>2042-0226</t>
  </si>
  <si>
    <t>Polymer Journal</t>
  </si>
  <si>
    <t>1349-0540</t>
  </si>
  <si>
    <t>The Journal of Antibiotics</t>
  </si>
  <si>
    <t>1881-1469</t>
  </si>
  <si>
    <t>European Journal of Clinical Nutrition</t>
  </si>
  <si>
    <t>1476-5640</t>
  </si>
  <si>
    <t>European Journal of Human Genetics</t>
  </si>
  <si>
    <t>1476-5438</t>
  </si>
  <si>
    <t>Evidence-based Dentistry</t>
  </si>
  <si>
    <t>1476-5446</t>
  </si>
  <si>
    <t>Eye</t>
  </si>
  <si>
    <t>1476-5454</t>
  </si>
  <si>
    <t>Gene Therapy</t>
  </si>
  <si>
    <t>1476-5462</t>
  </si>
  <si>
    <t>Genes &amp; Immunity</t>
  </si>
  <si>
    <t>1476-5470</t>
  </si>
  <si>
    <t>Heredity</t>
  </si>
  <si>
    <t>1365-2540</t>
  </si>
  <si>
    <t>Hypertension Research</t>
  </si>
  <si>
    <t>1348-4214</t>
  </si>
  <si>
    <t>International Journal of Impotence Research</t>
  </si>
  <si>
    <t>1476-5489</t>
  </si>
  <si>
    <t>Zeitschrift für Arbeitswissenschaft</t>
  </si>
  <si>
    <t>2366-4681</t>
  </si>
  <si>
    <t>Humanistic Management Journal</t>
  </si>
  <si>
    <t>2366-6048</t>
  </si>
  <si>
    <t>Journal of Cognitive Enhancement</t>
  </si>
  <si>
    <t>2509-3304</t>
  </si>
  <si>
    <t>Journal of Applied and Computational Topology</t>
  </si>
  <si>
    <t>2367-1734</t>
  </si>
  <si>
    <t>Journal of Organization Design</t>
  </si>
  <si>
    <t>2245-408x</t>
  </si>
  <si>
    <t>The Journal of Analysis</t>
  </si>
  <si>
    <t>2367-2501</t>
  </si>
  <si>
    <t>Journal of Iberian Geology</t>
  </si>
  <si>
    <t>1886-7995</t>
  </si>
  <si>
    <t>Occupational Health Science</t>
  </si>
  <si>
    <t>2367-0142</t>
  </si>
  <si>
    <t>Lasers in Dental Science</t>
  </si>
  <si>
    <t>2367-2587</t>
  </si>
  <si>
    <t>Journal of Business Cycle Research</t>
  </si>
  <si>
    <t>2509-7970</t>
  </si>
  <si>
    <t>International Journal of Latin American Religions</t>
  </si>
  <si>
    <t>2509-9965</t>
  </si>
  <si>
    <t>Radiation Detection Technology and Methods</t>
  </si>
  <si>
    <t>2509-9949</t>
  </si>
  <si>
    <t>Reviews of Modern Plasma Physics</t>
  </si>
  <si>
    <t>2367-3192</t>
  </si>
  <si>
    <t>Journal of Hardware and Systems Security</t>
  </si>
  <si>
    <t>2509-3436</t>
  </si>
  <si>
    <t>Historical Archaeology</t>
  </si>
  <si>
    <t>2328-1103</t>
  </si>
  <si>
    <t>Asian Bioethics Review</t>
  </si>
  <si>
    <t>1793-9453</t>
  </si>
  <si>
    <t>Journal of Geovisualization and Spatial Analysis</t>
  </si>
  <si>
    <t>2509-8829</t>
  </si>
  <si>
    <t>Process Integration and Optimization for Sustainability</t>
  </si>
  <si>
    <t>2509-4246</t>
  </si>
  <si>
    <t>Journal of Analysis and Testing</t>
  </si>
  <si>
    <t>2509-4696</t>
  </si>
  <si>
    <t>Journal of Healthcare Informatics Research</t>
  </si>
  <si>
    <t>2509-498X</t>
  </si>
  <si>
    <t>Zeitschrift für Religion, Gesellschaft und Politik</t>
  </si>
  <si>
    <t>2510-1226</t>
  </si>
  <si>
    <t>ISSS Journal of Micro and Smart Systems</t>
  </si>
  <si>
    <t>2509-7997</t>
  </si>
  <si>
    <t>Lab Animal</t>
  </si>
  <si>
    <t>1548-4475</t>
  </si>
  <si>
    <t>Asia-Pacific Journal of Regional Science</t>
  </si>
  <si>
    <t>2509-7954</t>
  </si>
  <si>
    <t>Journal of Formative Design in Learning</t>
  </si>
  <si>
    <t>2509-8039</t>
  </si>
  <si>
    <t>Construction Robotics</t>
  </si>
  <si>
    <t>2509-8780</t>
  </si>
  <si>
    <t>Corpus Pragmatics</t>
  </si>
  <si>
    <t>2509-9515</t>
  </si>
  <si>
    <t>International Journal of Environmental Research</t>
  </si>
  <si>
    <t>2008-2304</t>
  </si>
  <si>
    <t>Journal of the Indian Institute of Science</t>
  </si>
  <si>
    <t>0019-4964</t>
  </si>
  <si>
    <t>Earth Systems and Environment</t>
  </si>
  <si>
    <t>2509-9434</t>
  </si>
  <si>
    <t>Indian Economic Review</t>
  </si>
  <si>
    <t>2520-1778</t>
  </si>
  <si>
    <t>Journal of the Australian Ceramic Society</t>
  </si>
  <si>
    <t>2510-1579</t>
  </si>
  <si>
    <t>Sleep and Vigilance</t>
  </si>
  <si>
    <t>2510-2265</t>
  </si>
  <si>
    <t>Journal of Packaging Technology and Research</t>
  </si>
  <si>
    <t>2520-1042</t>
  </si>
  <si>
    <t>Journal of Elliptic and Parabolic Equations</t>
  </si>
  <si>
    <t>2296-9039</t>
  </si>
  <si>
    <t>Journal of Cultural Cognitive Science</t>
  </si>
  <si>
    <t>2520-1018</t>
  </si>
  <si>
    <t>Aerosol Science and Engineering</t>
  </si>
  <si>
    <t>2510-3768</t>
  </si>
  <si>
    <t>International Journal of Cognitive Behavioral Therapy</t>
  </si>
  <si>
    <t>3059-3042</t>
  </si>
  <si>
    <t>asian archaeology</t>
  </si>
  <si>
    <t>2520-8101</t>
  </si>
  <si>
    <t>International Journal of Information Technology</t>
  </si>
  <si>
    <t>2511-2112</t>
  </si>
  <si>
    <t>Life Cycle Reliability and Safety Engineering</t>
  </si>
  <si>
    <t>2520-1360</t>
  </si>
  <si>
    <t>Information Geometry</t>
  </si>
  <si>
    <t>2511-249X</t>
  </si>
  <si>
    <t>Economics of Disasters and Climate Change</t>
  </si>
  <si>
    <t>2511-1299</t>
  </si>
  <si>
    <t>Periodontal and Implant Research</t>
  </si>
  <si>
    <t>2948-2453</t>
  </si>
  <si>
    <t>Electrochemical Energy Reviews</t>
  </si>
  <si>
    <t>2520-8136</t>
  </si>
  <si>
    <t>Multiscale and Multidisciplinary Modeling, Experiments and Design</t>
  </si>
  <si>
    <t>2520-8179</t>
  </si>
  <si>
    <t>Entrepreneurship Education</t>
  </si>
  <si>
    <t>2520-8152</t>
  </si>
  <si>
    <t>Journal of Membrane Computing</t>
  </si>
  <si>
    <t>2523-8914</t>
  </si>
  <si>
    <t>Journal für Endokrinologie, Diabetologie und Stoffwechsel</t>
  </si>
  <si>
    <t>3004-8923</t>
  </si>
  <si>
    <t>Journal für Gastroenterologische und Hepatologische Erkrankungen</t>
  </si>
  <si>
    <t>1728-6271</t>
  </si>
  <si>
    <t>Urologie in der Praxis</t>
  </si>
  <si>
    <t>2661-8745</t>
  </si>
  <si>
    <t>Gynäkologie in der Praxis</t>
  </si>
  <si>
    <t>3005-0766</t>
  </si>
  <si>
    <t>Journal für Gynäkologische Endokrinologie/Schweiz</t>
  </si>
  <si>
    <t>2520-8500</t>
  </si>
  <si>
    <t>Remote Sensing in Earth Systems Sciences</t>
  </si>
  <si>
    <t>2520-8209</t>
  </si>
  <si>
    <t>International Journal of the Sociology of Leisure</t>
  </si>
  <si>
    <t>2520-8691</t>
  </si>
  <si>
    <t>Journal for STEM Education Research</t>
  </si>
  <si>
    <t>2520-8713</t>
  </si>
  <si>
    <t>Bulletin of the Iranian Mathematical Society</t>
  </si>
  <si>
    <t>1735-8515</t>
  </si>
  <si>
    <t>Journal of Flow Chemistry</t>
  </si>
  <si>
    <t>2063-0212</t>
  </si>
  <si>
    <t>Journal of Paleolithic Archaeology</t>
  </si>
  <si>
    <t>2520-8217</t>
  </si>
  <si>
    <t>Journal of Economics, Race, and Policy</t>
  </si>
  <si>
    <t>2520-842X</t>
  </si>
  <si>
    <t>Canadian Journal of Public Health</t>
  </si>
  <si>
    <t>1920-7476</t>
  </si>
  <si>
    <t>European Geriatric Medicine</t>
  </si>
  <si>
    <t>1878-7657</t>
  </si>
  <si>
    <t>Hormones</t>
  </si>
  <si>
    <t>2520-8721</t>
  </si>
  <si>
    <t>Journal of Computational Social Science</t>
  </si>
  <si>
    <t>2432-2725</t>
  </si>
  <si>
    <t>Unterrichtswissenschaft</t>
  </si>
  <si>
    <t>2520-873X</t>
  </si>
  <si>
    <t>Iran Journal of Computer Science</t>
  </si>
  <si>
    <t>2520-8446</t>
  </si>
  <si>
    <t>Zeitschrift für Ethik und Moralphilosophie</t>
  </si>
  <si>
    <t>2522-0071</t>
  </si>
  <si>
    <t>Chinese Journal of Academic Radiology</t>
  </si>
  <si>
    <t>2520-8993</t>
  </si>
  <si>
    <t>astrodynamics</t>
  </si>
  <si>
    <t>2522-0098</t>
  </si>
  <si>
    <t>Japanese Journal of Statistics and Data Science</t>
  </si>
  <si>
    <t>2520-8764</t>
  </si>
  <si>
    <t>Human Arenas</t>
  </si>
  <si>
    <t>2522-5804</t>
  </si>
  <si>
    <t>Journal of Peridynamics and Nonlocal Modeling</t>
  </si>
  <si>
    <t>2522-8978</t>
  </si>
  <si>
    <t>International Journal of Plant Production</t>
  </si>
  <si>
    <t>1735-8043</t>
  </si>
  <si>
    <t>Asian Journal of Civil Engineering</t>
  </si>
  <si>
    <t>2522-011X</t>
  </si>
  <si>
    <t>International Journal of Energy and Water Resources</t>
  </si>
  <si>
    <t>2522-0101</t>
  </si>
  <si>
    <t>Computational Brain &amp; Behavior</t>
  </si>
  <si>
    <t>2522-087X</t>
  </si>
  <si>
    <t>Automotive Innovation</t>
  </si>
  <si>
    <t>2522-8765</t>
  </si>
  <si>
    <t>Journal of Plant Pathology</t>
  </si>
  <si>
    <t>2239-7264</t>
  </si>
  <si>
    <t>Deutsche Zeitschrift für Akupunktur</t>
  </si>
  <si>
    <t>1439-4359</t>
  </si>
  <si>
    <t>journal of international business policy</t>
  </si>
  <si>
    <t>2522-0705</t>
  </si>
  <si>
    <t>Journal of Bionic Engineering</t>
  </si>
  <si>
    <t>2543-2141</t>
  </si>
  <si>
    <t>Journal of Dharma Studies</t>
  </si>
  <si>
    <t>2522-0934</t>
  </si>
  <si>
    <t>Journal of Hydrodynamics</t>
  </si>
  <si>
    <t>1878-0342</t>
  </si>
  <si>
    <t>Bio-Design and Manufacturing</t>
  </si>
  <si>
    <t>2522-8552</t>
  </si>
  <si>
    <t>Journal of Iron and Steel Research International</t>
  </si>
  <si>
    <t>2210-3988</t>
  </si>
  <si>
    <t>Emergent Materials</t>
  </si>
  <si>
    <t>2522-574X</t>
  </si>
  <si>
    <t>Chemistry Africa</t>
  </si>
  <si>
    <t>2522-5766</t>
  </si>
  <si>
    <t>Zeitschrift für Grundschulforschung</t>
  </si>
  <si>
    <t>2523-3181</t>
  </si>
  <si>
    <t>Water Waves</t>
  </si>
  <si>
    <t>2523-3688</t>
  </si>
  <si>
    <t>English Teaching &amp; Learning</t>
  </si>
  <si>
    <t>2522-8560</t>
  </si>
  <si>
    <t>Journal of Outdoor and Environmental Education</t>
  </si>
  <si>
    <t>2522-879X</t>
  </si>
  <si>
    <t>Canadian Journal of Science, Mathematics and Technology Education</t>
  </si>
  <si>
    <t>1942-4051</t>
  </si>
  <si>
    <t>Transactions on Electrical and Electronic Materials</t>
  </si>
  <si>
    <t>2092-7592</t>
  </si>
  <si>
    <t>Indian Phytopathology</t>
  </si>
  <si>
    <t>2248-9800</t>
  </si>
  <si>
    <t>China Population and Development Studies</t>
  </si>
  <si>
    <t>2523-8965</t>
  </si>
  <si>
    <t>International Journal of Bullying Prevention</t>
  </si>
  <si>
    <t>2523-3661</t>
  </si>
  <si>
    <t>Environmental Sustainability</t>
  </si>
  <si>
    <t>2523-8922</t>
  </si>
  <si>
    <t>SN Comprehensive Clinical Medicine</t>
  </si>
  <si>
    <t>2523-8973</t>
  </si>
  <si>
    <t>Aerospace Systems</t>
  </si>
  <si>
    <t>2523-3955</t>
  </si>
  <si>
    <t>International Journal of Aeronautical and Space Sciences</t>
  </si>
  <si>
    <t>2093-2480</t>
  </si>
  <si>
    <t>International Journal of Community Well-Being</t>
  </si>
  <si>
    <t>2524-5309</t>
  </si>
  <si>
    <t>Journal of Vibration Engineering &amp; Technologies</t>
  </si>
  <si>
    <t>2523-3939</t>
  </si>
  <si>
    <t>Data Science for Transportation</t>
  </si>
  <si>
    <t>2948-1368</t>
  </si>
  <si>
    <t>Advances in Astronautics</t>
  </si>
  <si>
    <t>3059-2976</t>
  </si>
  <si>
    <t>Postdigital Science and Education</t>
  </si>
  <si>
    <t>2524-4868</t>
  </si>
  <si>
    <t>Jus Cogens</t>
  </si>
  <si>
    <t>2524-3985</t>
  </si>
  <si>
    <t>International Journal on Child Maltreatment: Research, Policy and Practice</t>
  </si>
  <si>
    <t>2524-5244</t>
  </si>
  <si>
    <t>Human-Intelligent Systems Integration</t>
  </si>
  <si>
    <t>2524-4884</t>
  </si>
  <si>
    <t>Mining, Metallurgy &amp; Exploration</t>
  </si>
  <si>
    <t>2524-3470</t>
  </si>
  <si>
    <t>Journal of Rubber Research</t>
  </si>
  <si>
    <t>2524-3993</t>
  </si>
  <si>
    <t>Quantum Machine Intelligence</t>
  </si>
  <si>
    <t>2524-4914</t>
  </si>
  <si>
    <t>Journal of Proteins and Proteomics</t>
  </si>
  <si>
    <t>2524-4663</t>
  </si>
  <si>
    <t>CCF Transactions on Pervasive Computing and Interaction</t>
  </si>
  <si>
    <t>2524-5228</t>
  </si>
  <si>
    <t>Journal of Data, Information and Management</t>
  </si>
  <si>
    <t>2524-6364</t>
  </si>
  <si>
    <t>KN - Journal of Cartography and Geographic Information</t>
  </si>
  <si>
    <t>2524-4965</t>
  </si>
  <si>
    <t>Multiscale Science and Engineering</t>
  </si>
  <si>
    <t>2524-4523</t>
  </si>
  <si>
    <t>International Journal of Economic Policy Studies</t>
  </si>
  <si>
    <t>1881-4387</t>
  </si>
  <si>
    <t>Aerotecnica Missili &amp; Spazio</t>
  </si>
  <si>
    <t>2524-6968</t>
  </si>
  <si>
    <t>CCF Transactions on High Performance Computing</t>
  </si>
  <si>
    <t>2524-4930</t>
  </si>
  <si>
    <t>Journal of Statistical Theory and Practice</t>
  </si>
  <si>
    <t>1559-8616</t>
  </si>
  <si>
    <t>Neue Politische Literatur</t>
  </si>
  <si>
    <t>2197-6082</t>
  </si>
  <si>
    <t>Digital Finance</t>
  </si>
  <si>
    <t>2524-6186</t>
  </si>
  <si>
    <t>Frontiers of Engineering Management</t>
  </si>
  <si>
    <t>2096-0255</t>
  </si>
  <si>
    <t>Socio-Ecological Practice Research</t>
  </si>
  <si>
    <t>2524-5287</t>
  </si>
  <si>
    <t>China International Strategy Review</t>
  </si>
  <si>
    <t>2524-5635</t>
  </si>
  <si>
    <t>Vegetos</t>
  </si>
  <si>
    <t>2229-4473</t>
  </si>
  <si>
    <t>Peking Mathematical Journal</t>
  </si>
  <si>
    <t>2524-7182</t>
  </si>
  <si>
    <t>Mechanics Of Soft Materials</t>
  </si>
  <si>
    <t>2524-5619</t>
  </si>
  <si>
    <t>Zeitschrift für Friedens- und Konfliktforschung</t>
  </si>
  <si>
    <t>2524-6976</t>
  </si>
  <si>
    <t>Research on Biomedical Engineering</t>
  </si>
  <si>
    <t>2446-4740</t>
  </si>
  <si>
    <t>Canadian Studies in Population</t>
  </si>
  <si>
    <t>1927-629X</t>
  </si>
  <si>
    <t>International Journal of Tropical Insect Science</t>
  </si>
  <si>
    <t>1742-7592</t>
  </si>
  <si>
    <t>Journal of Soil Science and Plant Nutrition</t>
  </si>
  <si>
    <t>0718-9516</t>
  </si>
  <si>
    <t>Journal of Transatlantic Studies</t>
  </si>
  <si>
    <t>1754-1018</t>
  </si>
  <si>
    <t>Membranes and Membrane Technologies</t>
  </si>
  <si>
    <t>2517-7524</t>
  </si>
  <si>
    <t>Experimental and Computational Multiphase Flow</t>
  </si>
  <si>
    <t>2661-8877</t>
  </si>
  <si>
    <t>Affective Science</t>
  </si>
  <si>
    <t>2662-205X</t>
  </si>
  <si>
    <t>Genome Instability &amp; Disease</t>
  </si>
  <si>
    <t>2524-7662</t>
  </si>
  <si>
    <t>Advanced Fiber Materials</t>
  </si>
  <si>
    <t>2524-793X</t>
  </si>
  <si>
    <t>Waste Disposal &amp; Sustainable Energy</t>
  </si>
  <si>
    <t>2524-7891</t>
  </si>
  <si>
    <t>Brazilian Journal of Microbiology</t>
  </si>
  <si>
    <t>1678-4405</t>
  </si>
  <si>
    <t>Journal of Banking and Financial Technology</t>
  </si>
  <si>
    <t>2524-7964</t>
  </si>
  <si>
    <t>JMST Advances</t>
  </si>
  <si>
    <t>2524-7913</t>
  </si>
  <si>
    <t>Safety in Extreme Environments</t>
  </si>
  <si>
    <t>2524-8189</t>
  </si>
  <si>
    <t>International Journal of Digital Humanities</t>
  </si>
  <si>
    <t>2524-7840</t>
  </si>
  <si>
    <t>Journal of Pediatric Endoscopic Surgery</t>
  </si>
  <si>
    <t>2524-7883</t>
  </si>
  <si>
    <t>Behavior and Social Issues</t>
  </si>
  <si>
    <t>2376-6786</t>
  </si>
  <si>
    <t>Carbon Letters</t>
  </si>
  <si>
    <t>2233-4998</t>
  </si>
  <si>
    <t>Materials Circular Economy</t>
  </si>
  <si>
    <t>2524-8154</t>
  </si>
  <si>
    <t>Soil Ecology Letters</t>
  </si>
  <si>
    <t>2662-2297</t>
  </si>
  <si>
    <t>Journal of Electrical Engineering &amp; Technology</t>
  </si>
  <si>
    <t>2093-7423</t>
  </si>
  <si>
    <t>Journal of Health Service Psychology</t>
  </si>
  <si>
    <t>2662-2653</t>
  </si>
  <si>
    <t>Adversity and Resilience Science</t>
  </si>
  <si>
    <t>2662-2416</t>
  </si>
  <si>
    <t>Journal of Biosystems Engineering</t>
  </si>
  <si>
    <t>2234-1862</t>
  </si>
  <si>
    <t>Tungsten</t>
  </si>
  <si>
    <t>2661-8036</t>
  </si>
  <si>
    <t>Bulletin of Atmospheric Science and Technology</t>
  </si>
  <si>
    <t>2662-1509</t>
  </si>
  <si>
    <t>International Journal of Global Business and Competitiveness</t>
  </si>
  <si>
    <t>0976-1888</t>
  </si>
  <si>
    <t>International Journal of Pavement Research and Technology</t>
  </si>
  <si>
    <t>1997-1400</t>
  </si>
  <si>
    <t>Journal of the Korean Statistical Society</t>
  </si>
  <si>
    <t>2005-2863</t>
  </si>
  <si>
    <t>Tropical Ecology</t>
  </si>
  <si>
    <t>2661-8982</t>
  </si>
  <si>
    <t>Communications on Applied Mathematics and Computation</t>
  </si>
  <si>
    <t>2661-8893</t>
  </si>
  <si>
    <t>Journal of Policy Practice and Research</t>
  </si>
  <si>
    <t>2662-1517</t>
  </si>
  <si>
    <t>The Japanese Economic Review</t>
  </si>
  <si>
    <t>1468-5876</t>
  </si>
  <si>
    <t>Community Ecology</t>
  </si>
  <si>
    <t>1588-2756</t>
  </si>
  <si>
    <t>Cereal Research Communications</t>
  </si>
  <si>
    <t>1788-9170</t>
  </si>
  <si>
    <t>Biologia Futura</t>
  </si>
  <si>
    <t>2676-8607</t>
  </si>
  <si>
    <t>Journal of Science in Sport and Exercise</t>
  </si>
  <si>
    <t>2662-1371</t>
  </si>
  <si>
    <t>SN Computer Science</t>
  </si>
  <si>
    <t>2661-8907</t>
  </si>
  <si>
    <t>Digital War</t>
  </si>
  <si>
    <t>2662-1983</t>
  </si>
  <si>
    <t>Partial Differential Equations and Applications</t>
  </si>
  <si>
    <t>2662-2971</t>
  </si>
  <si>
    <t>Mediterranean Geoscience Reviews</t>
  </si>
  <si>
    <t>2661-8648</t>
  </si>
  <si>
    <t>Mammalian Biology</t>
  </si>
  <si>
    <t>1618-1476</t>
  </si>
  <si>
    <t>aBIOTECH</t>
  </si>
  <si>
    <t>2662-1738</t>
  </si>
  <si>
    <t>Marine Life Science &amp; Technology</t>
  </si>
  <si>
    <t>2662-1746</t>
  </si>
  <si>
    <t>Reproductive Sciences</t>
  </si>
  <si>
    <t>1933-7205</t>
  </si>
  <si>
    <t>Annals of Functional Analysis</t>
  </si>
  <si>
    <t>2008-8752</t>
  </si>
  <si>
    <t>Advances in Operator Theory</t>
  </si>
  <si>
    <t>2538-225X</t>
  </si>
  <si>
    <t>Banach Journal of Mathematical Analysis</t>
  </si>
  <si>
    <t>1735-8787</t>
  </si>
  <si>
    <t>Italian Journal of Marketing</t>
  </si>
  <si>
    <t>2662-3331</t>
  </si>
  <si>
    <t>Operations Research Forum</t>
  </si>
  <si>
    <t>2662-2556</t>
  </si>
  <si>
    <t>Trends in Psychology</t>
  </si>
  <si>
    <t>2358-1883</t>
  </si>
  <si>
    <t>Journal of Applied Youth Studies</t>
  </si>
  <si>
    <t>2204-9207</t>
  </si>
  <si>
    <t>Current Tissue Microenvironment Reports</t>
  </si>
  <si>
    <t>2662-4079</t>
  </si>
  <si>
    <t>Brazilian Journal of Chemical Engineering</t>
  </si>
  <si>
    <t>1678-4383</t>
  </si>
  <si>
    <t>Current Robotics Reports</t>
  </si>
  <si>
    <t>2662-4087</t>
  </si>
  <si>
    <t>Toxicological Research</t>
  </si>
  <si>
    <t>2234-2753</t>
  </si>
  <si>
    <t>Knie Journal</t>
  </si>
  <si>
    <t>2662-4036</t>
  </si>
  <si>
    <t>Journal of the Korean Ceramic Society</t>
  </si>
  <si>
    <t>2234-0491</t>
  </si>
  <si>
    <t>Journal of Sedimentary Environments</t>
  </si>
  <si>
    <t>2447-9462</t>
  </si>
  <si>
    <t>Journal of Power Electronics</t>
  </si>
  <si>
    <t>2093-4718</t>
  </si>
  <si>
    <t>Review of Evolutionary Political Economy</t>
  </si>
  <si>
    <t>2662-6144</t>
  </si>
  <si>
    <t>Ornithology Research</t>
  </si>
  <si>
    <t>2662-673X</t>
  </si>
  <si>
    <t>Spine Deformity</t>
  </si>
  <si>
    <t>2212-1358</t>
  </si>
  <si>
    <t>Systems Microbiology and Biomanufacturing</t>
  </si>
  <si>
    <t>2662-7663</t>
  </si>
  <si>
    <t>International Cybersecurity Law Review</t>
  </si>
  <si>
    <t>2662-9739</t>
  </si>
  <si>
    <t>Pharmacological Reports</t>
  </si>
  <si>
    <t>2299-5684</t>
  </si>
  <si>
    <t>Therapeutic Innovation &amp; Regulatory Science</t>
  </si>
  <si>
    <t>2168-4804</t>
  </si>
  <si>
    <t>Revista Brasileira de Farmacognosia</t>
  </si>
  <si>
    <t>1981-528X</t>
  </si>
  <si>
    <t>Archives of Civil and Mechanical Engineering</t>
  </si>
  <si>
    <t>2083-3318</t>
  </si>
  <si>
    <t>Indian Journal of Orthopaedics</t>
  </si>
  <si>
    <t>1998-3727</t>
  </si>
  <si>
    <t>Schweizer Gastroenterologie</t>
  </si>
  <si>
    <t>2662-7159</t>
  </si>
  <si>
    <t>Global Implementation Research and Applications</t>
  </si>
  <si>
    <t>2662-9275</t>
  </si>
  <si>
    <t>The Journal of East Asian Philosophy</t>
  </si>
  <si>
    <t>2730-5414</t>
  </si>
  <si>
    <t>Education and Treatment of Children</t>
  </si>
  <si>
    <t>1934-8924</t>
  </si>
  <si>
    <t>Global Public Policy and Governance</t>
  </si>
  <si>
    <t>2730-6305</t>
  </si>
  <si>
    <t>SN Social Sciences</t>
  </si>
  <si>
    <t>2662-9283</t>
  </si>
  <si>
    <t>SN Business &amp; Economics</t>
  </si>
  <si>
    <t>2662-9399</t>
  </si>
  <si>
    <t>Current Food Science and Technology Reports</t>
  </si>
  <si>
    <t>2662-8473</t>
  </si>
  <si>
    <t>International Criminology</t>
  </si>
  <si>
    <t>2662-9976</t>
  </si>
  <si>
    <t>MRS Bulletin</t>
  </si>
  <si>
    <t>1938-1425</t>
  </si>
  <si>
    <t>Journal of Materials Research</t>
  </si>
  <si>
    <t>2044-5326</t>
  </si>
  <si>
    <t>MRS Communications</t>
  </si>
  <si>
    <t>2159-6867</t>
  </si>
  <si>
    <t>MRS Advances</t>
  </si>
  <si>
    <t>2059-8521</t>
  </si>
  <si>
    <t>MRS Energy &amp; Sustainability</t>
  </si>
  <si>
    <t>2329-2237</t>
  </si>
  <si>
    <t>Forum Kinder- und Jugendsport</t>
  </si>
  <si>
    <t>2730-7220</t>
  </si>
  <si>
    <t>Circular Economy and Sustainability</t>
  </si>
  <si>
    <t>2730-5988</t>
  </si>
  <si>
    <t>Photochemical &amp; Photobiological Sciences</t>
  </si>
  <si>
    <t>1474-9092</t>
  </si>
  <si>
    <t>cultura &amp; psyché</t>
  </si>
  <si>
    <t>2730-5732</t>
  </si>
  <si>
    <t>Phenomics</t>
  </si>
  <si>
    <t>2730-5848</t>
  </si>
  <si>
    <t>Sampling Theory, Signal Processing, and Data Analysis</t>
  </si>
  <si>
    <t>2730-5724</t>
  </si>
  <si>
    <t>Advances in Computational Intelligence</t>
  </si>
  <si>
    <t>2730-7808</t>
  </si>
  <si>
    <t>Canadian Journal of Emergency Medicine</t>
  </si>
  <si>
    <t>1481-8043</t>
  </si>
  <si>
    <t>AI and Ethics</t>
  </si>
  <si>
    <t>2730-5961</t>
  </si>
  <si>
    <t>Biomedical Engineering Education</t>
  </si>
  <si>
    <t>2730-5945</t>
  </si>
  <si>
    <t>Das österreichische Gesundheitswesen ÖKZ</t>
  </si>
  <si>
    <t>2730-7271</t>
  </si>
  <si>
    <t>La Matematica</t>
  </si>
  <si>
    <t>2730-9657</t>
  </si>
  <si>
    <t>The Australian Journal of Language and Literacy</t>
  </si>
  <si>
    <t>1839-4728</t>
  </si>
  <si>
    <t>Acta Scientiarum Mathematicarum</t>
  </si>
  <si>
    <t>2064-8316</t>
  </si>
  <si>
    <t>Architecture, Structures and Construction</t>
  </si>
  <si>
    <t>2730-9894</t>
  </si>
  <si>
    <t>In vitro models</t>
  </si>
  <si>
    <t>2731-3441</t>
  </si>
  <si>
    <t>Reviews of Environmental Contamination and Toxicology</t>
  </si>
  <si>
    <t>2197-6554</t>
  </si>
  <si>
    <t>Biomedical Materials &amp; Devices</t>
  </si>
  <si>
    <t>2731-4820</t>
  </si>
  <si>
    <t>Anthropocene Science</t>
  </si>
  <si>
    <t>2731-3980</t>
  </si>
  <si>
    <t>Anästhesie Nachrichten</t>
  </si>
  <si>
    <t>2731-3972</t>
  </si>
  <si>
    <t>Schmerz Nachrichten</t>
  </si>
  <si>
    <t>2731-3999</t>
  </si>
  <si>
    <t>Global Surgical Education - Journal of the Association for Surgical Education</t>
  </si>
  <si>
    <t>2731-4588</t>
  </si>
  <si>
    <t>Oralprophylaxe &amp; Kinderzahnmedizin</t>
  </si>
  <si>
    <t>3005-0790</t>
  </si>
  <si>
    <t>Asian Journal of Philosophy</t>
  </si>
  <si>
    <t>2731-4642</t>
  </si>
  <si>
    <t>Digital Society</t>
  </si>
  <si>
    <t>2731-4669</t>
  </si>
  <si>
    <t>High Entropy Alloys &amp; Materials</t>
  </si>
  <si>
    <t>2731-5827</t>
  </si>
  <si>
    <t>Analytical Sciences</t>
  </si>
  <si>
    <t>1348-2246</t>
  </si>
  <si>
    <t>Zeitschrift für Allgemeinmedizin</t>
  </si>
  <si>
    <t>1439-9229</t>
  </si>
  <si>
    <t>ZI Zahnärztliche Implantologie</t>
  </si>
  <si>
    <t>3004-8702</t>
  </si>
  <si>
    <t>Rheuma Plus / Schweiz</t>
  </si>
  <si>
    <t>3004-8931</t>
  </si>
  <si>
    <t>Frontiers of Digital Education</t>
  </si>
  <si>
    <t>2097-3926</t>
  </si>
  <si>
    <t>Machine Learning for Computational Science and Engineering</t>
  </si>
  <si>
    <t>3005-1436</t>
  </si>
  <si>
    <t>Forest Science</t>
  </si>
  <si>
    <t>1938-3738</t>
  </si>
  <si>
    <t>Journal of Forestry</t>
  </si>
  <si>
    <t>1938-3746</t>
  </si>
  <si>
    <t>Bratislava Medical Journal</t>
  </si>
  <si>
    <t>1336-0345</t>
  </si>
  <si>
    <t>Matemática Contemporânea</t>
  </si>
  <si>
    <t>2317-6636</t>
  </si>
  <si>
    <t>Acta Universitatis Sapientiae, Mathematica</t>
  </si>
  <si>
    <t>2066-7752</t>
  </si>
  <si>
    <t>Acta Universitatis Sapientiae, Informatica</t>
  </si>
  <si>
    <t>2066-7760</t>
  </si>
  <si>
    <t>Acta Universitatis Sapientiae, Film and Media Studies</t>
  </si>
  <si>
    <t>2066-7779</t>
  </si>
  <si>
    <t>Mathematical Foundations of Machine Learning</t>
  </si>
  <si>
    <t>3059-3492</t>
  </si>
  <si>
    <t>Last updated: 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</si>
</sst>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19"/>
  <sheetViews>
    <sheetView tabSelected="1" workbookViewId="0">
      <pane ySplit="2" topLeftCell="A3" activePane="bottomLeft" state="frozen"/>
      <selection pane="bottomLeft" activeCell="G12" sqref="G12"/>
    </sheetView>
  </sheetViews>
  <sheetFormatPr baseColWidth="10" defaultColWidth="8.88671875" defaultRowHeight="12.75" customHeight="1" x14ac:dyDescent="0.3"/>
  <cols>
    <col min="1" max="1" width="50.6640625" customWidth="1"/>
    <col min="2" max="2" width="25.6640625" customWidth="1"/>
    <col min="3" max="3" width="23.6640625" customWidth="1"/>
    <col min="4" max="4" width="10.6640625" customWidth="1"/>
    <col min="5" max="5" width="13.6640625" customWidth="1"/>
  </cols>
  <sheetData>
    <row r="1" spans="1:5" ht="12.75" customHeight="1" x14ac:dyDescent="0.3">
      <c r="A1" s="1" t="s">
        <v>4474</v>
      </c>
    </row>
    <row r="2" spans="1:5" ht="25.05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12.75" customHeight="1" x14ac:dyDescent="0.3">
      <c r="A3" s="2" t="s">
        <v>5</v>
      </c>
      <c r="B3" s="2" t="s">
        <v>6</v>
      </c>
      <c r="C3" s="3" t="str">
        <f>HYPERLINK("https://springer.com/3")</f>
        <v>https://springer.com/3</v>
      </c>
      <c r="D3" s="2" t="s">
        <v>7</v>
      </c>
      <c r="E3" s="2" t="s">
        <v>8</v>
      </c>
    </row>
    <row r="4" spans="1:5" ht="12.75" customHeight="1" x14ac:dyDescent="0.3">
      <c r="A4" s="2" t="s">
        <v>9</v>
      </c>
      <c r="B4" s="2" t="s">
        <v>10</v>
      </c>
      <c r="C4" s="3" t="str">
        <f>HYPERLINK("https://springer.com/4")</f>
        <v>https://springer.com/4</v>
      </c>
      <c r="D4" s="2" t="s">
        <v>11</v>
      </c>
      <c r="E4" s="2" t="s">
        <v>8</v>
      </c>
    </row>
    <row r="5" spans="1:5" ht="12.75" customHeight="1" x14ac:dyDescent="0.3">
      <c r="A5" s="2" t="s">
        <v>12</v>
      </c>
      <c r="B5" s="2" t="s">
        <v>13</v>
      </c>
      <c r="C5" s="3" t="str">
        <f>HYPERLINK("https://springer.com/6")</f>
        <v>https://springer.com/6</v>
      </c>
      <c r="D5" s="2" t="s">
        <v>14</v>
      </c>
      <c r="E5" s="2" t="s">
        <v>8</v>
      </c>
    </row>
    <row r="6" spans="1:5" ht="12.75" customHeight="1" x14ac:dyDescent="0.3">
      <c r="A6" s="2" t="s">
        <v>15</v>
      </c>
      <c r="B6" s="2" t="s">
        <v>10</v>
      </c>
      <c r="C6" s="3" t="str">
        <f>HYPERLINK("https://springer.com/9")</f>
        <v>https://springer.com/9</v>
      </c>
      <c r="D6" s="2" t="s">
        <v>16</v>
      </c>
      <c r="E6" s="2" t="s">
        <v>8</v>
      </c>
    </row>
    <row r="7" spans="1:5" ht="12.75" customHeight="1" x14ac:dyDescent="0.3">
      <c r="A7" s="2" t="s">
        <v>17</v>
      </c>
      <c r="B7" s="2" t="s">
        <v>10</v>
      </c>
      <c r="C7" s="4" t="str">
        <f>HYPERLINK("https://springer.com/10")</f>
        <v>https://springer.com/10</v>
      </c>
      <c r="D7" s="2" t="s">
        <v>18</v>
      </c>
      <c r="E7" s="2" t="s">
        <v>8</v>
      </c>
    </row>
    <row r="8" spans="1:5" ht="12.75" customHeight="1" x14ac:dyDescent="0.3">
      <c r="A8" s="2" t="s">
        <v>19</v>
      </c>
      <c r="B8" s="2" t="s">
        <v>20</v>
      </c>
      <c r="C8" s="4" t="str">
        <f>HYPERLINK("https://springer.com/11")</f>
        <v>https://springer.com/11</v>
      </c>
      <c r="D8" s="2" t="s">
        <v>21</v>
      </c>
      <c r="E8" s="2" t="s">
        <v>8</v>
      </c>
    </row>
    <row r="9" spans="1:5" ht="12.75" customHeight="1" x14ac:dyDescent="0.3">
      <c r="A9" s="2" t="s">
        <v>22</v>
      </c>
      <c r="B9" s="2" t="s">
        <v>10</v>
      </c>
      <c r="C9" s="3" t="str">
        <f>HYPERLINK("https://springer.com/12")</f>
        <v>https://springer.com/12</v>
      </c>
      <c r="D9" s="2" t="s">
        <v>23</v>
      </c>
      <c r="E9" s="2" t="s">
        <v>8</v>
      </c>
    </row>
    <row r="10" spans="1:5" ht="12.75" customHeight="1" x14ac:dyDescent="0.3">
      <c r="A10" s="2" t="s">
        <v>24</v>
      </c>
      <c r="B10" s="2" t="s">
        <v>10</v>
      </c>
      <c r="C10" s="3" t="str">
        <f>HYPERLINK("https://springer.com/13")</f>
        <v>https://springer.com/13</v>
      </c>
      <c r="D10" s="2" t="s">
        <v>25</v>
      </c>
      <c r="E10" s="2" t="s">
        <v>8</v>
      </c>
    </row>
    <row r="11" spans="1:5" ht="12.75" customHeight="1" x14ac:dyDescent="0.3">
      <c r="A11" s="2" t="s">
        <v>27</v>
      </c>
      <c r="B11" s="2" t="s">
        <v>13</v>
      </c>
      <c r="C11" s="3" t="str">
        <f>HYPERLINK("https://springer.com/16")</f>
        <v>https://springer.com/16</v>
      </c>
      <c r="D11" s="2" t="s">
        <v>28</v>
      </c>
      <c r="E11" s="2" t="s">
        <v>8</v>
      </c>
    </row>
    <row r="12" spans="1:5" ht="12.75" customHeight="1" x14ac:dyDescent="0.3">
      <c r="A12" s="2" t="s">
        <v>29</v>
      </c>
      <c r="B12" s="2" t="s">
        <v>10</v>
      </c>
      <c r="C12" s="3" t="str">
        <f>HYPERLINK("https://springer.com/20")</f>
        <v>https://springer.com/20</v>
      </c>
      <c r="D12" s="2" t="s">
        <v>30</v>
      </c>
      <c r="E12" s="2" t="s">
        <v>8</v>
      </c>
    </row>
    <row r="13" spans="1:5" ht="12.75" customHeight="1" x14ac:dyDescent="0.3">
      <c r="A13" s="2" t="s">
        <v>31</v>
      </c>
      <c r="B13" s="2" t="s">
        <v>13</v>
      </c>
      <c r="C13" s="4" t="str">
        <f>HYPERLINK("https://springer.com/21")</f>
        <v>https://springer.com/21</v>
      </c>
      <c r="D13" s="2" t="s">
        <v>32</v>
      </c>
      <c r="E13" s="2" t="s">
        <v>8</v>
      </c>
    </row>
    <row r="14" spans="1:5" ht="12.75" customHeight="1" x14ac:dyDescent="0.3">
      <c r="A14" s="2" t="s">
        <v>33</v>
      </c>
      <c r="B14" s="2" t="s">
        <v>10</v>
      </c>
      <c r="C14" s="4" t="str">
        <f>HYPERLINK("https://springer.com/22")</f>
        <v>https://springer.com/22</v>
      </c>
      <c r="D14" s="2" t="s">
        <v>34</v>
      </c>
      <c r="E14" s="2" t="s">
        <v>8</v>
      </c>
    </row>
    <row r="15" spans="1:5" ht="12.75" customHeight="1" x14ac:dyDescent="0.3">
      <c r="A15" s="2" t="s">
        <v>35</v>
      </c>
      <c r="B15" s="2" t="s">
        <v>13</v>
      </c>
      <c r="C15" s="4" t="str">
        <f>HYPERLINK("https://springer.com/23")</f>
        <v>https://springer.com/23</v>
      </c>
      <c r="D15" s="2" t="s">
        <v>36</v>
      </c>
      <c r="E15" s="2" t="s">
        <v>8</v>
      </c>
    </row>
    <row r="16" spans="1:5" ht="12.75" customHeight="1" x14ac:dyDescent="0.3">
      <c r="A16" s="2" t="s">
        <v>37</v>
      </c>
      <c r="B16" s="2" t="s">
        <v>26</v>
      </c>
      <c r="C16" s="4" t="str">
        <f>HYPERLINK("https://springer.com/24")</f>
        <v>https://springer.com/24</v>
      </c>
      <c r="D16" s="2" t="s">
        <v>38</v>
      </c>
      <c r="E16" s="2" t="s">
        <v>8</v>
      </c>
    </row>
    <row r="17" spans="1:5" ht="12.75" customHeight="1" x14ac:dyDescent="0.3">
      <c r="A17" s="2" t="s">
        <v>39</v>
      </c>
      <c r="B17" s="2" t="s">
        <v>10</v>
      </c>
      <c r="C17" s="4" t="str">
        <f>HYPERLINK("https://springer.com/25")</f>
        <v>https://springer.com/25</v>
      </c>
      <c r="D17" s="2" t="s">
        <v>40</v>
      </c>
      <c r="E17" s="2" t="s">
        <v>8</v>
      </c>
    </row>
    <row r="18" spans="1:5" ht="12.75" customHeight="1" x14ac:dyDescent="0.3">
      <c r="A18" s="2" t="s">
        <v>41</v>
      </c>
      <c r="B18" s="2" t="s">
        <v>10</v>
      </c>
      <c r="C18" s="3" t="str">
        <f>HYPERLINK("https://springer.com/26")</f>
        <v>https://springer.com/26</v>
      </c>
      <c r="D18" s="2" t="s">
        <v>42</v>
      </c>
      <c r="E18" s="2" t="s">
        <v>8</v>
      </c>
    </row>
    <row r="19" spans="1:5" ht="12.75" customHeight="1" x14ac:dyDescent="0.3">
      <c r="A19" s="2" t="s">
        <v>43</v>
      </c>
      <c r="B19" s="2" t="s">
        <v>6</v>
      </c>
      <c r="C19" s="4" t="str">
        <f>HYPERLINK("https://springer.com/27")</f>
        <v>https://springer.com/27</v>
      </c>
      <c r="D19" s="2" t="s">
        <v>44</v>
      </c>
      <c r="E19" s="2" t="s">
        <v>8</v>
      </c>
    </row>
    <row r="20" spans="1:5" ht="12.75" customHeight="1" x14ac:dyDescent="0.3">
      <c r="A20" s="2" t="s">
        <v>45</v>
      </c>
      <c r="B20" s="2" t="s">
        <v>10</v>
      </c>
      <c r="C20" s="4" t="str">
        <f>HYPERLINK("https://springer.com/28")</f>
        <v>https://springer.com/28</v>
      </c>
      <c r="D20" s="2" t="s">
        <v>46</v>
      </c>
      <c r="E20" s="2" t="s">
        <v>8</v>
      </c>
    </row>
    <row r="21" spans="1:5" ht="12.75" customHeight="1" x14ac:dyDescent="0.3">
      <c r="A21" s="2" t="s">
        <v>47</v>
      </c>
      <c r="B21" s="2" t="s">
        <v>10</v>
      </c>
      <c r="C21" s="4" t="str">
        <f>HYPERLINK("https://springer.com/29")</f>
        <v>https://springer.com/29</v>
      </c>
      <c r="D21" s="2" t="s">
        <v>48</v>
      </c>
      <c r="E21" s="2" t="s">
        <v>8</v>
      </c>
    </row>
    <row r="22" spans="1:5" ht="12.75" customHeight="1" x14ac:dyDescent="0.3">
      <c r="A22" s="2" t="s">
        <v>49</v>
      </c>
      <c r="B22" s="2" t="s">
        <v>10</v>
      </c>
      <c r="C22" s="4" t="str">
        <f>HYPERLINK("https://springer.com/30")</f>
        <v>https://springer.com/30</v>
      </c>
      <c r="D22" s="2" t="s">
        <v>50</v>
      </c>
      <c r="E22" s="2" t="s">
        <v>8</v>
      </c>
    </row>
    <row r="23" spans="1:5" ht="12.75" customHeight="1" x14ac:dyDescent="0.3">
      <c r="A23" s="2" t="s">
        <v>51</v>
      </c>
      <c r="B23" s="2" t="s">
        <v>10</v>
      </c>
      <c r="C23" s="3" t="str">
        <f>HYPERLINK("https://springer.com/31")</f>
        <v>https://springer.com/31</v>
      </c>
      <c r="D23" s="2" t="s">
        <v>52</v>
      </c>
      <c r="E23" s="2" t="s">
        <v>8</v>
      </c>
    </row>
    <row r="24" spans="1:5" ht="12.75" customHeight="1" x14ac:dyDescent="0.3">
      <c r="A24" s="2" t="s">
        <v>53</v>
      </c>
      <c r="B24" s="2" t="s">
        <v>10</v>
      </c>
      <c r="C24" s="4" t="str">
        <f>HYPERLINK("https://springer.com/32")</f>
        <v>https://springer.com/32</v>
      </c>
      <c r="D24" s="2" t="s">
        <v>54</v>
      </c>
      <c r="E24" s="2" t="s">
        <v>8</v>
      </c>
    </row>
    <row r="25" spans="1:5" ht="12.75" customHeight="1" x14ac:dyDescent="0.3">
      <c r="A25" s="2" t="s">
        <v>55</v>
      </c>
      <c r="B25" s="2" t="s">
        <v>56</v>
      </c>
      <c r="C25" s="3" t="str">
        <f>HYPERLINK("https://springer.com/33")</f>
        <v>https://springer.com/33</v>
      </c>
      <c r="D25" s="2" t="s">
        <v>57</v>
      </c>
      <c r="E25" s="2" t="s">
        <v>8</v>
      </c>
    </row>
    <row r="26" spans="1:5" ht="12.75" customHeight="1" x14ac:dyDescent="0.3">
      <c r="A26" s="2" t="s">
        <v>58</v>
      </c>
      <c r="B26" s="2" t="s">
        <v>56</v>
      </c>
      <c r="C26" s="3" t="str">
        <f>HYPERLINK("https://springer.com/34")</f>
        <v>https://springer.com/34</v>
      </c>
      <c r="D26" s="2" t="s">
        <v>59</v>
      </c>
      <c r="E26" s="2" t="s">
        <v>8</v>
      </c>
    </row>
    <row r="27" spans="1:5" ht="12.75" customHeight="1" x14ac:dyDescent="0.3">
      <c r="A27" s="2" t="s">
        <v>60</v>
      </c>
      <c r="B27" s="2" t="s">
        <v>6</v>
      </c>
      <c r="C27" s="3" t="str">
        <f>HYPERLINK("https://springer.com/35")</f>
        <v>https://springer.com/35</v>
      </c>
      <c r="D27" s="2" t="s">
        <v>61</v>
      </c>
      <c r="E27" s="2" t="s">
        <v>8</v>
      </c>
    </row>
    <row r="28" spans="1:5" ht="12.75" customHeight="1" x14ac:dyDescent="0.3">
      <c r="A28" s="2" t="s">
        <v>62</v>
      </c>
      <c r="B28" s="2" t="s">
        <v>63</v>
      </c>
      <c r="C28" s="3" t="str">
        <f>HYPERLINK("https://springer.com/37")</f>
        <v>https://springer.com/37</v>
      </c>
      <c r="D28" s="2" t="s">
        <v>64</v>
      </c>
      <c r="E28" s="2" t="s">
        <v>8</v>
      </c>
    </row>
    <row r="29" spans="1:5" ht="12.75" customHeight="1" x14ac:dyDescent="0.3">
      <c r="A29" s="2" t="s">
        <v>65</v>
      </c>
      <c r="B29" s="2" t="s">
        <v>10</v>
      </c>
      <c r="C29" s="3" t="str">
        <f>HYPERLINK("https://springer.com/39")</f>
        <v>https://springer.com/39</v>
      </c>
      <c r="D29" s="2" t="s">
        <v>66</v>
      </c>
      <c r="E29" s="2" t="s">
        <v>8</v>
      </c>
    </row>
    <row r="30" spans="1:5" ht="12.75" customHeight="1" x14ac:dyDescent="0.3">
      <c r="A30" s="2" t="s">
        <v>67</v>
      </c>
      <c r="B30" s="2" t="s">
        <v>6</v>
      </c>
      <c r="C30" s="3" t="str">
        <f>HYPERLINK("https://springer.com/40")</f>
        <v>https://springer.com/40</v>
      </c>
      <c r="D30" s="2" t="s">
        <v>68</v>
      </c>
      <c r="E30" s="2" t="s">
        <v>8</v>
      </c>
    </row>
    <row r="31" spans="1:5" ht="12.75" customHeight="1" x14ac:dyDescent="0.3">
      <c r="A31" s="2" t="s">
        <v>69</v>
      </c>
      <c r="B31" s="2" t="s">
        <v>10</v>
      </c>
      <c r="C31" s="3" t="str">
        <f>HYPERLINK("https://springer.com/41")</f>
        <v>https://springer.com/41</v>
      </c>
      <c r="D31" s="2" t="s">
        <v>70</v>
      </c>
      <c r="E31" s="2" t="s">
        <v>8</v>
      </c>
    </row>
    <row r="32" spans="1:5" ht="12.75" customHeight="1" x14ac:dyDescent="0.3">
      <c r="A32" s="2" t="s">
        <v>71</v>
      </c>
      <c r="B32" s="2" t="s">
        <v>20</v>
      </c>
      <c r="C32" s="3" t="str">
        <f>HYPERLINK("https://springer.com/44")</f>
        <v>https://springer.com/44</v>
      </c>
      <c r="D32" s="2" t="s">
        <v>72</v>
      </c>
      <c r="E32" s="2" t="s">
        <v>8</v>
      </c>
    </row>
    <row r="33" spans="1:5" ht="12.75" customHeight="1" x14ac:dyDescent="0.3">
      <c r="A33" s="2" t="s">
        <v>73</v>
      </c>
      <c r="B33" s="2" t="s">
        <v>74</v>
      </c>
      <c r="C33" s="3" t="str">
        <f>HYPERLINK("https://springer.com/48")</f>
        <v>https://springer.com/48</v>
      </c>
      <c r="D33" s="2" t="s">
        <v>75</v>
      </c>
      <c r="E33" s="2" t="s">
        <v>8</v>
      </c>
    </row>
    <row r="34" spans="1:5" ht="12.75" customHeight="1" x14ac:dyDescent="0.3">
      <c r="A34" s="2" t="s">
        <v>76</v>
      </c>
      <c r="B34" s="2" t="s">
        <v>6</v>
      </c>
      <c r="C34" s="3" t="str">
        <f>HYPERLINK("https://springer.com/49")</f>
        <v>https://springer.com/49</v>
      </c>
      <c r="D34" s="2" t="s">
        <v>77</v>
      </c>
      <c r="E34" s="2" t="s">
        <v>8</v>
      </c>
    </row>
    <row r="35" spans="1:5" ht="12.75" customHeight="1" x14ac:dyDescent="0.3">
      <c r="A35" s="2" t="s">
        <v>79</v>
      </c>
      <c r="B35" s="2" t="s">
        <v>78</v>
      </c>
      <c r="C35" s="3" t="str">
        <f>HYPERLINK("https://springer.com/53")</f>
        <v>https://springer.com/53</v>
      </c>
      <c r="D35" s="2" t="s">
        <v>80</v>
      </c>
      <c r="E35" s="2" t="s">
        <v>8</v>
      </c>
    </row>
    <row r="36" spans="1:5" ht="12.75" customHeight="1" x14ac:dyDescent="0.3">
      <c r="A36" s="2" t="s">
        <v>81</v>
      </c>
      <c r="B36" s="2" t="s">
        <v>82</v>
      </c>
      <c r="C36" s="3" t="str">
        <f>HYPERLINK("https://springer.com/56")</f>
        <v>https://springer.com/56</v>
      </c>
      <c r="D36" s="2" t="s">
        <v>83</v>
      </c>
      <c r="E36" s="2" t="s">
        <v>8</v>
      </c>
    </row>
    <row r="37" spans="1:5" ht="12.75" customHeight="1" x14ac:dyDescent="0.3">
      <c r="A37" s="2" t="s">
        <v>84</v>
      </c>
      <c r="B37" s="2" t="s">
        <v>78</v>
      </c>
      <c r="C37" s="3" t="str">
        <f>HYPERLINK("https://springer.com/59")</f>
        <v>https://springer.com/59</v>
      </c>
      <c r="D37" s="2" t="s">
        <v>85</v>
      </c>
      <c r="E37" s="2" t="s">
        <v>8</v>
      </c>
    </row>
    <row r="38" spans="1:5" ht="12.75" customHeight="1" x14ac:dyDescent="0.3">
      <c r="A38" s="2" t="s">
        <v>86</v>
      </c>
      <c r="B38" s="2" t="s">
        <v>78</v>
      </c>
      <c r="C38" s="3" t="str">
        <f>HYPERLINK("https://springer.com/62")</f>
        <v>https://springer.com/62</v>
      </c>
      <c r="D38" s="2" t="s">
        <v>87</v>
      </c>
      <c r="E38" s="2" t="s">
        <v>8</v>
      </c>
    </row>
    <row r="39" spans="1:5" ht="12.75" customHeight="1" x14ac:dyDescent="0.3">
      <c r="A39" s="2" t="s">
        <v>88</v>
      </c>
      <c r="B39" s="2" t="s">
        <v>78</v>
      </c>
      <c r="C39" s="3" t="str">
        <f>HYPERLINK("https://springer.com/63")</f>
        <v>https://springer.com/63</v>
      </c>
      <c r="D39" s="2" t="s">
        <v>89</v>
      </c>
      <c r="E39" s="2" t="s">
        <v>8</v>
      </c>
    </row>
    <row r="40" spans="1:5" ht="12.75" customHeight="1" x14ac:dyDescent="0.3">
      <c r="A40" s="2" t="s">
        <v>90</v>
      </c>
      <c r="B40" s="2" t="s">
        <v>78</v>
      </c>
      <c r="C40" s="3" t="str">
        <f>HYPERLINK("https://springer.com/64")</f>
        <v>https://springer.com/64</v>
      </c>
      <c r="D40" s="2" t="s">
        <v>91</v>
      </c>
      <c r="E40" s="2" t="s">
        <v>8</v>
      </c>
    </row>
    <row r="41" spans="1:5" ht="12.75" customHeight="1" x14ac:dyDescent="0.3">
      <c r="A41" s="2" t="s">
        <v>92</v>
      </c>
      <c r="B41" s="2" t="s">
        <v>78</v>
      </c>
      <c r="C41" s="3" t="str">
        <f>HYPERLINK("https://springer.com/66")</f>
        <v>https://springer.com/66</v>
      </c>
      <c r="D41" s="2" t="s">
        <v>93</v>
      </c>
      <c r="E41" s="2" t="s">
        <v>8</v>
      </c>
    </row>
    <row r="42" spans="1:5" ht="12.75" customHeight="1" x14ac:dyDescent="0.3">
      <c r="A42" s="2" t="s">
        <v>94</v>
      </c>
      <c r="B42" s="2" t="s">
        <v>78</v>
      </c>
      <c r="C42" s="3" t="str">
        <f>HYPERLINK("https://springer.com/68")</f>
        <v>https://springer.com/68</v>
      </c>
      <c r="D42" s="2" t="s">
        <v>95</v>
      </c>
      <c r="E42" s="2" t="s">
        <v>8</v>
      </c>
    </row>
    <row r="43" spans="1:5" ht="12.75" customHeight="1" x14ac:dyDescent="0.3">
      <c r="A43" s="2" t="s">
        <v>96</v>
      </c>
      <c r="B43" s="2" t="s">
        <v>78</v>
      </c>
      <c r="C43" s="3" t="str">
        <f>HYPERLINK("https://springer.com/101")</f>
        <v>https://springer.com/101</v>
      </c>
      <c r="D43" s="2" t="s">
        <v>97</v>
      </c>
      <c r="E43" s="2" t="s">
        <v>8</v>
      </c>
    </row>
    <row r="44" spans="1:5" ht="12.75" customHeight="1" x14ac:dyDescent="0.3">
      <c r="A44" s="2" t="s">
        <v>98</v>
      </c>
      <c r="B44" s="2" t="s">
        <v>78</v>
      </c>
      <c r="C44" s="3" t="str">
        <f>HYPERLINK("https://springer.com/103")</f>
        <v>https://springer.com/103</v>
      </c>
      <c r="D44" s="2" t="s">
        <v>99</v>
      </c>
      <c r="E44" s="2" t="s">
        <v>8</v>
      </c>
    </row>
    <row r="45" spans="1:5" ht="12.75" customHeight="1" x14ac:dyDescent="0.3">
      <c r="A45" s="2" t="s">
        <v>100</v>
      </c>
      <c r="B45" s="2" t="s">
        <v>78</v>
      </c>
      <c r="C45" s="3" t="str">
        <f>HYPERLINK("https://springer.com/104")</f>
        <v>https://springer.com/104</v>
      </c>
      <c r="D45" s="2" t="s">
        <v>101</v>
      </c>
      <c r="E45" s="2" t="s">
        <v>8</v>
      </c>
    </row>
    <row r="46" spans="1:5" ht="12.75" customHeight="1" x14ac:dyDescent="0.3">
      <c r="A46" s="2" t="s">
        <v>102</v>
      </c>
      <c r="B46" s="2" t="s">
        <v>78</v>
      </c>
      <c r="C46" s="3" t="str">
        <f>HYPERLINK("https://springer.com/105")</f>
        <v>https://springer.com/105</v>
      </c>
      <c r="D46" s="2" t="s">
        <v>103</v>
      </c>
      <c r="E46" s="2" t="s">
        <v>8</v>
      </c>
    </row>
    <row r="47" spans="1:5" ht="12.75" customHeight="1" x14ac:dyDescent="0.3">
      <c r="A47" s="2" t="s">
        <v>104</v>
      </c>
      <c r="B47" s="2" t="s">
        <v>78</v>
      </c>
      <c r="C47" s="3" t="str">
        <f>HYPERLINK("https://springer.com/106")</f>
        <v>https://springer.com/106</v>
      </c>
      <c r="D47" s="2" t="s">
        <v>105</v>
      </c>
      <c r="E47" s="2" t="s">
        <v>8</v>
      </c>
    </row>
    <row r="48" spans="1:5" ht="12.75" customHeight="1" x14ac:dyDescent="0.3">
      <c r="A48" s="2" t="s">
        <v>106</v>
      </c>
      <c r="B48" s="2" t="s">
        <v>6</v>
      </c>
      <c r="C48" s="3" t="str">
        <f>HYPERLINK("https://springer.com/107")</f>
        <v>https://springer.com/107</v>
      </c>
      <c r="D48" s="2" t="s">
        <v>107</v>
      </c>
      <c r="E48" s="2" t="s">
        <v>8</v>
      </c>
    </row>
    <row r="49" spans="1:5" ht="12.75" customHeight="1" x14ac:dyDescent="0.3">
      <c r="A49" s="2" t="s">
        <v>108</v>
      </c>
      <c r="B49" s="2" t="s">
        <v>78</v>
      </c>
      <c r="C49" s="3" t="str">
        <f>HYPERLINK("https://springer.com/108")</f>
        <v>https://springer.com/108</v>
      </c>
      <c r="D49" s="2" t="s">
        <v>109</v>
      </c>
      <c r="E49" s="2" t="s">
        <v>8</v>
      </c>
    </row>
    <row r="50" spans="1:5" ht="12.75" customHeight="1" x14ac:dyDescent="0.3">
      <c r="A50" s="2" t="s">
        <v>110</v>
      </c>
      <c r="B50" s="2" t="s">
        <v>20</v>
      </c>
      <c r="C50" s="3" t="str">
        <f>HYPERLINK("https://springer.com/109")</f>
        <v>https://springer.com/109</v>
      </c>
      <c r="D50" s="2" t="s">
        <v>111</v>
      </c>
      <c r="E50" s="2" t="s">
        <v>8</v>
      </c>
    </row>
    <row r="51" spans="1:5" ht="12.75" customHeight="1" x14ac:dyDescent="0.3">
      <c r="A51" s="2" t="s">
        <v>112</v>
      </c>
      <c r="B51" s="2" t="s">
        <v>78</v>
      </c>
      <c r="C51" s="3" t="str">
        <f>HYPERLINK("https://springer.com/112")</f>
        <v>https://springer.com/112</v>
      </c>
      <c r="D51" s="2" t="s">
        <v>113</v>
      </c>
      <c r="E51" s="2" t="s">
        <v>8</v>
      </c>
    </row>
    <row r="52" spans="1:5" ht="12.75" customHeight="1" x14ac:dyDescent="0.3">
      <c r="A52" s="2" t="s">
        <v>114</v>
      </c>
      <c r="B52" s="2" t="s">
        <v>78</v>
      </c>
      <c r="C52" s="3" t="str">
        <f>HYPERLINK("https://springer.com/113")</f>
        <v>https://springer.com/113</v>
      </c>
      <c r="D52" s="2" t="s">
        <v>115</v>
      </c>
      <c r="E52" s="2" t="s">
        <v>8</v>
      </c>
    </row>
    <row r="53" spans="1:5" ht="12.75" customHeight="1" x14ac:dyDescent="0.3">
      <c r="A53" s="2" t="s">
        <v>116</v>
      </c>
      <c r="B53" s="2" t="s">
        <v>6</v>
      </c>
      <c r="C53" s="3" t="str">
        <f>HYPERLINK("https://springer.com/114")</f>
        <v>https://springer.com/114</v>
      </c>
      <c r="D53" s="2" t="s">
        <v>117</v>
      </c>
      <c r="E53" s="2" t="s">
        <v>8</v>
      </c>
    </row>
    <row r="54" spans="1:5" ht="12.75" customHeight="1" x14ac:dyDescent="0.3">
      <c r="A54" s="2" t="s">
        <v>118</v>
      </c>
      <c r="B54" s="2" t="s">
        <v>78</v>
      </c>
      <c r="C54" s="3" t="str">
        <f>HYPERLINK("https://springer.com/115")</f>
        <v>https://springer.com/115</v>
      </c>
      <c r="D54" s="2" t="s">
        <v>119</v>
      </c>
      <c r="E54" s="2" t="s">
        <v>8</v>
      </c>
    </row>
    <row r="55" spans="1:5" ht="12.75" customHeight="1" x14ac:dyDescent="0.3">
      <c r="A55" s="2" t="s">
        <v>120</v>
      </c>
      <c r="B55" s="2" t="s">
        <v>78</v>
      </c>
      <c r="C55" s="3" t="str">
        <f>HYPERLINK("https://springer.com/117")</f>
        <v>https://springer.com/117</v>
      </c>
      <c r="D55" s="2" t="s">
        <v>121</v>
      </c>
      <c r="E55" s="2" t="s">
        <v>8</v>
      </c>
    </row>
    <row r="56" spans="1:5" ht="12.75" customHeight="1" x14ac:dyDescent="0.3">
      <c r="A56" s="2" t="s">
        <v>122</v>
      </c>
      <c r="B56" s="2" t="s">
        <v>78</v>
      </c>
      <c r="C56" s="3" t="str">
        <f>HYPERLINK("https://springer.com/120")</f>
        <v>https://springer.com/120</v>
      </c>
      <c r="D56" s="2" t="s">
        <v>123</v>
      </c>
      <c r="E56" s="2" t="s">
        <v>8</v>
      </c>
    </row>
    <row r="57" spans="1:5" ht="12.75" customHeight="1" x14ac:dyDescent="0.3">
      <c r="A57" s="2" t="s">
        <v>124</v>
      </c>
      <c r="B57" s="2" t="s">
        <v>6</v>
      </c>
      <c r="C57" s="3" t="str">
        <f>HYPERLINK("https://springer.com/122")</f>
        <v>https://springer.com/122</v>
      </c>
      <c r="D57" s="2" t="s">
        <v>125</v>
      </c>
      <c r="E57" s="2" t="s">
        <v>8</v>
      </c>
    </row>
    <row r="58" spans="1:5" ht="12.75" customHeight="1" x14ac:dyDescent="0.3">
      <c r="A58" s="2" t="s">
        <v>126</v>
      </c>
      <c r="B58" s="2" t="s">
        <v>78</v>
      </c>
      <c r="C58" s="3" t="str">
        <f>HYPERLINK("https://springer.com/125")</f>
        <v>https://springer.com/125</v>
      </c>
      <c r="D58" s="2" t="s">
        <v>127</v>
      </c>
      <c r="E58" s="2" t="s">
        <v>8</v>
      </c>
    </row>
    <row r="59" spans="1:5" ht="12.75" customHeight="1" x14ac:dyDescent="0.3">
      <c r="A59" s="2" t="s">
        <v>128</v>
      </c>
      <c r="B59" s="2" t="s">
        <v>26</v>
      </c>
      <c r="C59" s="3" t="str">
        <f>HYPERLINK("https://springer.com/126")</f>
        <v>https://springer.com/126</v>
      </c>
      <c r="D59" s="2" t="s">
        <v>129</v>
      </c>
      <c r="E59" s="2" t="s">
        <v>8</v>
      </c>
    </row>
    <row r="60" spans="1:5" ht="12.75" customHeight="1" x14ac:dyDescent="0.3">
      <c r="A60" s="2" t="s">
        <v>130</v>
      </c>
      <c r="B60" s="2" t="s">
        <v>78</v>
      </c>
      <c r="C60" s="3" t="str">
        <f>HYPERLINK("https://springer.com/127")</f>
        <v>https://springer.com/127</v>
      </c>
      <c r="D60" s="2" t="s">
        <v>131</v>
      </c>
      <c r="E60" s="2" t="s">
        <v>8</v>
      </c>
    </row>
    <row r="61" spans="1:5" ht="12.75" customHeight="1" x14ac:dyDescent="0.3">
      <c r="A61" s="2" t="s">
        <v>132</v>
      </c>
      <c r="B61" s="2" t="s">
        <v>133</v>
      </c>
      <c r="C61" s="3" t="str">
        <f>HYPERLINK("https://springer.com/128")</f>
        <v>https://springer.com/128</v>
      </c>
      <c r="D61" s="2" t="s">
        <v>134</v>
      </c>
      <c r="E61" s="2" t="s">
        <v>8</v>
      </c>
    </row>
    <row r="62" spans="1:5" ht="12.75" customHeight="1" x14ac:dyDescent="0.3">
      <c r="A62" s="2" t="s">
        <v>135</v>
      </c>
      <c r="B62" s="2" t="s">
        <v>78</v>
      </c>
      <c r="C62" s="3" t="str">
        <f>HYPERLINK("https://springer.com/129")</f>
        <v>https://springer.com/129</v>
      </c>
      <c r="D62" s="2" t="s">
        <v>136</v>
      </c>
      <c r="E62" s="2" t="s">
        <v>8</v>
      </c>
    </row>
    <row r="63" spans="1:5" ht="12.75" customHeight="1" x14ac:dyDescent="0.3">
      <c r="A63" s="2" t="s">
        <v>137</v>
      </c>
      <c r="B63" s="2" t="s">
        <v>78</v>
      </c>
      <c r="C63" s="3" t="str">
        <f>HYPERLINK("https://springer.com/132")</f>
        <v>https://springer.com/132</v>
      </c>
      <c r="D63" s="2" t="s">
        <v>138</v>
      </c>
      <c r="E63" s="2" t="s">
        <v>8</v>
      </c>
    </row>
    <row r="64" spans="1:5" ht="12.75" customHeight="1" x14ac:dyDescent="0.3">
      <c r="A64" s="2" t="s">
        <v>139</v>
      </c>
      <c r="B64" s="2" t="s">
        <v>78</v>
      </c>
      <c r="C64" s="3" t="str">
        <f>HYPERLINK("https://springer.com/134")</f>
        <v>https://springer.com/134</v>
      </c>
      <c r="D64" s="2" t="s">
        <v>140</v>
      </c>
      <c r="E64" s="2" t="s">
        <v>141</v>
      </c>
    </row>
    <row r="65" spans="1:5" ht="12.75" customHeight="1" x14ac:dyDescent="0.3">
      <c r="A65" s="2" t="s">
        <v>142</v>
      </c>
      <c r="B65" s="2" t="s">
        <v>63</v>
      </c>
      <c r="C65" s="3" t="str">
        <f>HYPERLINK("https://springer.com/138")</f>
        <v>https://springer.com/138</v>
      </c>
      <c r="D65" s="2" t="s">
        <v>143</v>
      </c>
      <c r="E65" s="2" t="s">
        <v>8</v>
      </c>
    </row>
    <row r="66" spans="1:5" ht="12.75" customHeight="1" x14ac:dyDescent="0.3">
      <c r="A66" s="2" t="s">
        <v>144</v>
      </c>
      <c r="B66" s="2" t="s">
        <v>78</v>
      </c>
      <c r="C66" s="3" t="str">
        <f>HYPERLINK("https://springer.com/142")</f>
        <v>https://springer.com/142</v>
      </c>
      <c r="D66" s="2" t="s">
        <v>145</v>
      </c>
      <c r="E66" s="2" t="s">
        <v>8</v>
      </c>
    </row>
    <row r="67" spans="1:5" ht="12.75" customHeight="1" x14ac:dyDescent="0.3">
      <c r="A67" s="2" t="s">
        <v>146</v>
      </c>
      <c r="B67" s="2" t="s">
        <v>63</v>
      </c>
      <c r="C67" s="3" t="str">
        <f>HYPERLINK("https://springer.com/145")</f>
        <v>https://springer.com/145</v>
      </c>
      <c r="D67" s="2" t="s">
        <v>147</v>
      </c>
      <c r="E67" s="2" t="s">
        <v>8</v>
      </c>
    </row>
    <row r="68" spans="1:5" ht="12.75" customHeight="1" x14ac:dyDescent="0.3">
      <c r="A68" s="2" t="s">
        <v>148</v>
      </c>
      <c r="B68" s="2" t="s">
        <v>63</v>
      </c>
      <c r="C68" s="3" t="str">
        <f>HYPERLINK("https://springer.com/146")</f>
        <v>https://springer.com/146</v>
      </c>
      <c r="D68" s="2" t="s">
        <v>149</v>
      </c>
      <c r="E68" s="2" t="s">
        <v>8</v>
      </c>
    </row>
    <row r="69" spans="1:5" ht="12.75" customHeight="1" x14ac:dyDescent="0.3">
      <c r="A69" s="2" t="s">
        <v>150</v>
      </c>
      <c r="B69" s="2" t="s">
        <v>151</v>
      </c>
      <c r="C69" s="3" t="str">
        <f>HYPERLINK("https://springer.com/148")</f>
        <v>https://springer.com/148</v>
      </c>
      <c r="D69" s="2" t="s">
        <v>152</v>
      </c>
      <c r="E69" s="2" t="s">
        <v>8</v>
      </c>
    </row>
    <row r="70" spans="1:5" ht="12.75" customHeight="1" x14ac:dyDescent="0.3">
      <c r="A70" s="2" t="s">
        <v>153</v>
      </c>
      <c r="B70" s="2" t="s">
        <v>10</v>
      </c>
      <c r="C70" s="3" t="str">
        <f>HYPERLINK("https://springer.com/153")</f>
        <v>https://springer.com/153</v>
      </c>
      <c r="D70" s="2" t="s">
        <v>154</v>
      </c>
      <c r="E70" s="2" t="s">
        <v>8</v>
      </c>
    </row>
    <row r="71" spans="1:5" ht="12.75" customHeight="1" x14ac:dyDescent="0.3">
      <c r="A71" s="2" t="s">
        <v>155</v>
      </c>
      <c r="B71" s="2" t="s">
        <v>56</v>
      </c>
      <c r="C71" s="3" t="str">
        <f>HYPERLINK("https://springer.com/158")</f>
        <v>https://springer.com/158</v>
      </c>
      <c r="D71" s="2" t="s">
        <v>156</v>
      </c>
      <c r="E71" s="2" t="s">
        <v>8</v>
      </c>
    </row>
    <row r="72" spans="1:5" ht="12.75" customHeight="1" x14ac:dyDescent="0.3">
      <c r="A72" s="2" t="s">
        <v>157</v>
      </c>
      <c r="B72" s="2" t="s">
        <v>13</v>
      </c>
      <c r="C72" s="3" t="str">
        <f>HYPERLINK("https://springer.com/159")</f>
        <v>https://springer.com/159</v>
      </c>
      <c r="D72" s="2" t="s">
        <v>158</v>
      </c>
      <c r="E72" s="2" t="s">
        <v>8</v>
      </c>
    </row>
    <row r="73" spans="1:5" ht="12.75" customHeight="1" x14ac:dyDescent="0.3">
      <c r="A73" s="2" t="s">
        <v>159</v>
      </c>
      <c r="B73" s="2" t="s">
        <v>13</v>
      </c>
      <c r="C73" s="3" t="str">
        <f>HYPERLINK("https://springer.com/161")</f>
        <v>https://springer.com/161</v>
      </c>
      <c r="D73" s="2" t="s">
        <v>160</v>
      </c>
      <c r="E73" s="2" t="s">
        <v>8</v>
      </c>
    </row>
    <row r="74" spans="1:5" ht="12.75" customHeight="1" x14ac:dyDescent="0.3">
      <c r="A74" s="2" t="s">
        <v>161</v>
      </c>
      <c r="B74" s="2" t="s">
        <v>56</v>
      </c>
      <c r="C74" s="3" t="str">
        <f>HYPERLINK("https://springer.com/162")</f>
        <v>https://springer.com/162</v>
      </c>
      <c r="D74" s="2" t="s">
        <v>162</v>
      </c>
      <c r="E74" s="2" t="s">
        <v>8</v>
      </c>
    </row>
    <row r="75" spans="1:5" ht="12.75" customHeight="1" x14ac:dyDescent="0.3">
      <c r="A75" s="2" t="s">
        <v>163</v>
      </c>
      <c r="B75" s="2" t="s">
        <v>56</v>
      </c>
      <c r="C75" s="3" t="str">
        <f>HYPERLINK("https://springer.com/163")</f>
        <v>https://springer.com/163</v>
      </c>
      <c r="D75" s="2" t="s">
        <v>164</v>
      </c>
      <c r="E75" s="2" t="s">
        <v>8</v>
      </c>
    </row>
    <row r="76" spans="1:5" ht="12.75" customHeight="1" x14ac:dyDescent="0.3">
      <c r="A76" s="2" t="s">
        <v>165</v>
      </c>
      <c r="B76" s="2" t="s">
        <v>151</v>
      </c>
      <c r="C76" s="3" t="str">
        <f>HYPERLINK("https://springer.com/168")</f>
        <v>https://springer.com/168</v>
      </c>
      <c r="D76" s="2" t="s">
        <v>166</v>
      </c>
      <c r="E76" s="2" t="s">
        <v>8</v>
      </c>
    </row>
    <row r="77" spans="1:5" ht="12.75" customHeight="1" x14ac:dyDescent="0.3">
      <c r="A77" s="2" t="s">
        <v>167</v>
      </c>
      <c r="B77" s="2" t="s">
        <v>56</v>
      </c>
      <c r="C77" s="3" t="str">
        <f>HYPERLINK("https://springer.com/170")</f>
        <v>https://springer.com/170</v>
      </c>
      <c r="D77" s="2" t="s">
        <v>168</v>
      </c>
      <c r="E77" s="2" t="s">
        <v>8</v>
      </c>
    </row>
    <row r="78" spans="1:5" ht="12.75" customHeight="1" x14ac:dyDescent="0.3">
      <c r="A78" s="2" t="s">
        <v>169</v>
      </c>
      <c r="B78" s="2" t="s">
        <v>170</v>
      </c>
      <c r="C78" s="3" t="str">
        <f>HYPERLINK("https://springer.com/180")</f>
        <v>https://springer.com/180</v>
      </c>
      <c r="D78" s="2" t="s">
        <v>171</v>
      </c>
      <c r="E78" s="2" t="s">
        <v>8</v>
      </c>
    </row>
    <row r="79" spans="1:5" ht="12.75" customHeight="1" x14ac:dyDescent="0.3">
      <c r="A79" s="2" t="s">
        <v>172</v>
      </c>
      <c r="B79" s="2" t="s">
        <v>151</v>
      </c>
      <c r="C79" s="3" t="str">
        <f>HYPERLINK("https://springer.com/181")</f>
        <v>https://springer.com/181</v>
      </c>
      <c r="D79" s="2" t="s">
        <v>173</v>
      </c>
      <c r="E79" s="2" t="s">
        <v>8</v>
      </c>
    </row>
    <row r="80" spans="1:5" ht="12.75" customHeight="1" x14ac:dyDescent="0.3">
      <c r="A80" s="2" t="s">
        <v>174</v>
      </c>
      <c r="B80" s="2" t="s">
        <v>151</v>
      </c>
      <c r="C80" s="3" t="str">
        <f>HYPERLINK("https://springer.com/182")</f>
        <v>https://springer.com/182</v>
      </c>
      <c r="D80" s="2" t="s">
        <v>175</v>
      </c>
      <c r="E80" s="2" t="s">
        <v>8</v>
      </c>
    </row>
    <row r="81" spans="1:5" ht="12.75" customHeight="1" x14ac:dyDescent="0.3">
      <c r="A81" s="2" t="s">
        <v>176</v>
      </c>
      <c r="B81" s="2" t="s">
        <v>170</v>
      </c>
      <c r="C81" s="3" t="str">
        <f>HYPERLINK("https://springer.com/184")</f>
        <v>https://springer.com/184</v>
      </c>
      <c r="D81" s="2" t="s">
        <v>177</v>
      </c>
      <c r="E81" s="2" t="s">
        <v>8</v>
      </c>
    </row>
    <row r="82" spans="1:5" ht="12.75" customHeight="1" x14ac:dyDescent="0.3">
      <c r="A82" s="2" t="s">
        <v>178</v>
      </c>
      <c r="B82" s="2" t="s">
        <v>10</v>
      </c>
      <c r="C82" s="3" t="str">
        <f>HYPERLINK("https://springer.com/186")</f>
        <v>https://springer.com/186</v>
      </c>
      <c r="D82" s="2" t="s">
        <v>179</v>
      </c>
      <c r="E82" s="2" t="s">
        <v>8</v>
      </c>
    </row>
    <row r="83" spans="1:5" ht="12.75" customHeight="1" x14ac:dyDescent="0.3">
      <c r="A83" s="2" t="s">
        <v>180</v>
      </c>
      <c r="B83" s="2" t="s">
        <v>181</v>
      </c>
      <c r="C83" s="3" t="str">
        <f>HYPERLINK("https://springer.com/187")</f>
        <v>https://springer.com/187</v>
      </c>
      <c r="D83" s="2" t="s">
        <v>182</v>
      </c>
      <c r="E83" s="2" t="s">
        <v>8</v>
      </c>
    </row>
    <row r="84" spans="1:5" ht="12.75" customHeight="1" x14ac:dyDescent="0.3">
      <c r="A84" s="2" t="s">
        <v>183</v>
      </c>
      <c r="B84" s="2" t="s">
        <v>26</v>
      </c>
      <c r="C84" s="3" t="str">
        <f>HYPERLINK("https://springer.com/190")</f>
        <v>https://springer.com/190</v>
      </c>
      <c r="D84" s="2" t="s">
        <v>184</v>
      </c>
      <c r="E84" s="2" t="s">
        <v>8</v>
      </c>
    </row>
    <row r="85" spans="1:5" ht="12.75" customHeight="1" x14ac:dyDescent="0.3">
      <c r="A85" s="2" t="s">
        <v>185</v>
      </c>
      <c r="B85" s="2" t="s">
        <v>151</v>
      </c>
      <c r="C85" s="3" t="str">
        <f>HYPERLINK("https://springer.com/191")</f>
        <v>https://springer.com/191</v>
      </c>
      <c r="D85" s="2" t="s">
        <v>186</v>
      </c>
      <c r="E85" s="2" t="s">
        <v>8</v>
      </c>
    </row>
    <row r="86" spans="1:5" ht="12.75" customHeight="1" x14ac:dyDescent="0.3">
      <c r="A86" s="2" t="s">
        <v>187</v>
      </c>
      <c r="B86" s="2" t="s">
        <v>78</v>
      </c>
      <c r="C86" s="3" t="str">
        <f>HYPERLINK("https://springer.com/192")</f>
        <v>https://springer.com/192</v>
      </c>
      <c r="D86" s="2" t="s">
        <v>188</v>
      </c>
      <c r="E86" s="2" t="s">
        <v>8</v>
      </c>
    </row>
    <row r="87" spans="1:5" ht="12.75" customHeight="1" x14ac:dyDescent="0.3">
      <c r="A87" s="2" t="s">
        <v>189</v>
      </c>
      <c r="B87" s="2" t="s">
        <v>56</v>
      </c>
      <c r="C87" s="3" t="str">
        <f>HYPERLINK("https://springer.com/193")</f>
        <v>https://springer.com/193</v>
      </c>
      <c r="D87" s="2" t="s">
        <v>190</v>
      </c>
      <c r="E87" s="2" t="s">
        <v>8</v>
      </c>
    </row>
    <row r="88" spans="1:5" ht="12.75" customHeight="1" x14ac:dyDescent="0.3">
      <c r="A88" s="2" t="s">
        <v>191</v>
      </c>
      <c r="B88" s="2" t="s">
        <v>78</v>
      </c>
      <c r="C88" s="3" t="str">
        <f>HYPERLINK("https://springer.com/194")</f>
        <v>https://springer.com/194</v>
      </c>
      <c r="D88" s="2" t="s">
        <v>192</v>
      </c>
      <c r="E88" s="2" t="s">
        <v>8</v>
      </c>
    </row>
    <row r="89" spans="1:5" ht="12.75" customHeight="1" x14ac:dyDescent="0.3">
      <c r="A89" s="2" t="s">
        <v>193</v>
      </c>
      <c r="B89" s="2" t="s">
        <v>78</v>
      </c>
      <c r="C89" s="3" t="str">
        <f>HYPERLINK("https://springer.com/198")</f>
        <v>https://springer.com/198</v>
      </c>
      <c r="D89" s="2" t="s">
        <v>194</v>
      </c>
      <c r="E89" s="2" t="s">
        <v>141</v>
      </c>
    </row>
    <row r="90" spans="1:5" ht="12.75" customHeight="1" x14ac:dyDescent="0.3">
      <c r="A90" s="2" t="s">
        <v>195</v>
      </c>
      <c r="B90" s="2" t="s">
        <v>151</v>
      </c>
      <c r="C90" s="3" t="str">
        <f>HYPERLINK("https://springer.com/199")</f>
        <v>https://springer.com/199</v>
      </c>
      <c r="D90" s="2" t="s">
        <v>196</v>
      </c>
      <c r="E90" s="2" t="s">
        <v>8</v>
      </c>
    </row>
    <row r="91" spans="1:5" ht="12.75" customHeight="1" x14ac:dyDescent="0.3">
      <c r="A91" s="2" t="s">
        <v>197</v>
      </c>
      <c r="B91" s="2" t="s">
        <v>63</v>
      </c>
      <c r="C91" s="3" t="str">
        <f>HYPERLINK("https://springer.com/200")</f>
        <v>https://springer.com/200</v>
      </c>
      <c r="D91" s="2" t="s">
        <v>198</v>
      </c>
      <c r="E91" s="2" t="s">
        <v>8</v>
      </c>
    </row>
    <row r="92" spans="1:5" ht="12.75" customHeight="1" x14ac:dyDescent="0.3">
      <c r="A92" s="2" t="s">
        <v>199</v>
      </c>
      <c r="B92" s="2" t="s">
        <v>56</v>
      </c>
      <c r="C92" s="3" t="str">
        <f>HYPERLINK("https://springer.com/202")</f>
        <v>https://springer.com/202</v>
      </c>
      <c r="D92" s="2" t="s">
        <v>200</v>
      </c>
      <c r="E92" s="2" t="s">
        <v>8</v>
      </c>
    </row>
    <row r="93" spans="1:5" ht="12.75" customHeight="1" x14ac:dyDescent="0.3">
      <c r="A93" s="2" t="s">
        <v>201</v>
      </c>
      <c r="B93" s="2" t="s">
        <v>6</v>
      </c>
      <c r="C93" s="3" t="str">
        <f>HYPERLINK("https://springer.com/203")</f>
        <v>https://springer.com/203</v>
      </c>
      <c r="D93" s="2" t="s">
        <v>202</v>
      </c>
      <c r="E93" s="2" t="s">
        <v>8</v>
      </c>
    </row>
    <row r="94" spans="1:5" ht="12.75" customHeight="1" x14ac:dyDescent="0.3">
      <c r="A94" s="2" t="s">
        <v>203</v>
      </c>
      <c r="B94" s="2" t="s">
        <v>20</v>
      </c>
      <c r="C94" s="3" t="str">
        <f>HYPERLINK("https://springer.com/204")</f>
        <v>https://springer.com/204</v>
      </c>
      <c r="D94" s="2" t="s">
        <v>204</v>
      </c>
      <c r="E94" s="2" t="s">
        <v>8</v>
      </c>
    </row>
    <row r="95" spans="1:5" ht="12.75" customHeight="1" x14ac:dyDescent="0.3">
      <c r="A95" s="2" t="s">
        <v>205</v>
      </c>
      <c r="B95" s="2" t="s">
        <v>13</v>
      </c>
      <c r="C95" s="3" t="str">
        <f>HYPERLINK("https://springer.com/205")</f>
        <v>https://springer.com/205</v>
      </c>
      <c r="D95" s="2" t="s">
        <v>206</v>
      </c>
      <c r="E95" s="2" t="s">
        <v>8</v>
      </c>
    </row>
    <row r="96" spans="1:5" ht="12.75" customHeight="1" x14ac:dyDescent="0.3">
      <c r="A96" s="2" t="s">
        <v>207</v>
      </c>
      <c r="B96" s="2" t="s">
        <v>10</v>
      </c>
      <c r="C96" s="3" t="str">
        <f>HYPERLINK("https://springer.com/208")</f>
        <v>https://springer.com/208</v>
      </c>
      <c r="D96" s="2" t="s">
        <v>208</v>
      </c>
      <c r="E96" s="2" t="s">
        <v>8</v>
      </c>
    </row>
    <row r="97" spans="1:5" ht="12.75" customHeight="1" x14ac:dyDescent="0.3">
      <c r="A97" s="2" t="s">
        <v>209</v>
      </c>
      <c r="B97" s="2" t="s">
        <v>10</v>
      </c>
      <c r="C97" s="3" t="str">
        <f>HYPERLINK("https://springer.com/209")</f>
        <v>https://springer.com/209</v>
      </c>
      <c r="D97" s="2" t="s">
        <v>210</v>
      </c>
      <c r="E97" s="2" t="s">
        <v>8</v>
      </c>
    </row>
    <row r="98" spans="1:5" ht="12.75" customHeight="1" x14ac:dyDescent="0.3">
      <c r="A98" s="2" t="s">
        <v>211</v>
      </c>
      <c r="B98" s="2" t="s">
        <v>20</v>
      </c>
      <c r="C98" s="3" t="str">
        <f>HYPERLINK("https://springer.com/210")</f>
        <v>https://springer.com/210</v>
      </c>
      <c r="D98" s="2" t="s">
        <v>212</v>
      </c>
      <c r="E98" s="2" t="s">
        <v>8</v>
      </c>
    </row>
    <row r="99" spans="1:5" ht="12.75" customHeight="1" x14ac:dyDescent="0.3">
      <c r="A99" s="2" t="s">
        <v>213</v>
      </c>
      <c r="B99" s="2" t="s">
        <v>10</v>
      </c>
      <c r="C99" s="3" t="str">
        <f>HYPERLINK("https://springer.com/211")</f>
        <v>https://springer.com/211</v>
      </c>
      <c r="D99" s="2" t="s">
        <v>214</v>
      </c>
      <c r="E99" s="2" t="s">
        <v>8</v>
      </c>
    </row>
    <row r="100" spans="1:5" ht="12.75" customHeight="1" x14ac:dyDescent="0.3">
      <c r="A100" s="2" t="s">
        <v>215</v>
      </c>
      <c r="B100" s="2" t="s">
        <v>20</v>
      </c>
      <c r="C100" s="3" t="str">
        <f>HYPERLINK("https://springer.com/213")</f>
        <v>https://springer.com/213</v>
      </c>
      <c r="D100" s="2" t="s">
        <v>216</v>
      </c>
      <c r="E100" s="2" t="s">
        <v>8</v>
      </c>
    </row>
    <row r="101" spans="1:5" ht="12.75" customHeight="1" x14ac:dyDescent="0.3">
      <c r="A101" s="2" t="s">
        <v>217</v>
      </c>
      <c r="B101" s="2" t="s">
        <v>218</v>
      </c>
      <c r="C101" s="3" t="str">
        <f>HYPERLINK("https://springer.com/214")</f>
        <v>https://springer.com/214</v>
      </c>
      <c r="D101" s="2" t="s">
        <v>219</v>
      </c>
      <c r="E101" s="2" t="s">
        <v>8</v>
      </c>
    </row>
    <row r="102" spans="1:5" ht="12.75" customHeight="1" x14ac:dyDescent="0.3">
      <c r="A102" s="2" t="s">
        <v>220</v>
      </c>
      <c r="B102" s="2" t="s">
        <v>218</v>
      </c>
      <c r="C102" s="3" t="str">
        <f>HYPERLINK("https://springer.com/216")</f>
        <v>https://springer.com/216</v>
      </c>
      <c r="D102" s="2" t="s">
        <v>221</v>
      </c>
      <c r="E102" s="2" t="s">
        <v>8</v>
      </c>
    </row>
    <row r="103" spans="1:5" ht="12.75" customHeight="1" x14ac:dyDescent="0.3">
      <c r="A103" s="2" t="s">
        <v>222</v>
      </c>
      <c r="B103" s="2" t="s">
        <v>218</v>
      </c>
      <c r="C103" s="3" t="str">
        <f>HYPERLINK("https://springer.com/217")</f>
        <v>https://springer.com/217</v>
      </c>
      <c r="D103" s="2" t="s">
        <v>223</v>
      </c>
      <c r="E103" s="2" t="s">
        <v>8</v>
      </c>
    </row>
    <row r="104" spans="1:5" ht="12.75" customHeight="1" x14ac:dyDescent="0.3">
      <c r="A104" s="2" t="s">
        <v>224</v>
      </c>
      <c r="B104" s="2" t="s">
        <v>13</v>
      </c>
      <c r="C104" s="3" t="str">
        <f>HYPERLINK("https://springer.com/220")</f>
        <v>https://springer.com/220</v>
      </c>
      <c r="D104" s="2" t="s">
        <v>225</v>
      </c>
      <c r="E104" s="2" t="s">
        <v>8</v>
      </c>
    </row>
    <row r="105" spans="1:5" ht="12.75" customHeight="1" x14ac:dyDescent="0.3">
      <c r="A105" s="2" t="s">
        <v>226</v>
      </c>
      <c r="B105" s="2" t="s">
        <v>20</v>
      </c>
      <c r="C105" s="3" t="str">
        <f>HYPERLINK("https://springer.com/221")</f>
        <v>https://springer.com/221</v>
      </c>
      <c r="D105" s="2" t="s">
        <v>227</v>
      </c>
      <c r="E105" s="2" t="s">
        <v>8</v>
      </c>
    </row>
    <row r="106" spans="1:5" ht="12.75" customHeight="1" x14ac:dyDescent="0.3">
      <c r="A106" s="2" t="s">
        <v>228</v>
      </c>
      <c r="B106" s="2" t="s">
        <v>10</v>
      </c>
      <c r="C106" s="3" t="str">
        <f>HYPERLINK("https://springer.com/222")</f>
        <v>https://springer.com/222</v>
      </c>
      <c r="D106" s="2" t="s">
        <v>229</v>
      </c>
      <c r="E106" s="2" t="s">
        <v>8</v>
      </c>
    </row>
    <row r="107" spans="1:5" ht="12.75" customHeight="1" x14ac:dyDescent="0.3">
      <c r="A107" s="2" t="s">
        <v>230</v>
      </c>
      <c r="B107" s="2" t="s">
        <v>6</v>
      </c>
      <c r="C107" s="3" t="str">
        <f>HYPERLINK("https://springer.com/223")</f>
        <v>https://springer.com/223</v>
      </c>
      <c r="D107" s="2" t="s">
        <v>231</v>
      </c>
      <c r="E107" s="2" t="s">
        <v>8</v>
      </c>
    </row>
    <row r="108" spans="1:5" ht="12.75" customHeight="1" x14ac:dyDescent="0.3">
      <c r="A108" s="2" t="s">
        <v>232</v>
      </c>
      <c r="B108" s="2" t="s">
        <v>63</v>
      </c>
      <c r="C108" s="3" t="str">
        <f>HYPERLINK("https://springer.com/224")</f>
        <v>https://springer.com/224</v>
      </c>
      <c r="D108" s="2" t="s">
        <v>233</v>
      </c>
      <c r="E108" s="2" t="s">
        <v>8</v>
      </c>
    </row>
    <row r="109" spans="1:5" ht="12.75" customHeight="1" x14ac:dyDescent="0.3">
      <c r="A109" s="2" t="s">
        <v>234</v>
      </c>
      <c r="B109" s="2" t="s">
        <v>6</v>
      </c>
      <c r="C109" s="3" t="str">
        <f>HYPERLINK("https://springer.com/226")</f>
        <v>https://springer.com/226</v>
      </c>
      <c r="D109" s="2" t="s">
        <v>235</v>
      </c>
      <c r="E109" s="2" t="s">
        <v>8</v>
      </c>
    </row>
    <row r="110" spans="1:5" ht="12.75" customHeight="1" x14ac:dyDescent="0.3">
      <c r="A110" s="2" t="s">
        <v>236</v>
      </c>
      <c r="B110" s="2" t="s">
        <v>6</v>
      </c>
      <c r="C110" s="3" t="str">
        <f>HYPERLINK("https://springer.com/227")</f>
        <v>https://springer.com/227</v>
      </c>
      <c r="D110" s="2" t="s">
        <v>237</v>
      </c>
      <c r="E110" s="2" t="s">
        <v>8</v>
      </c>
    </row>
    <row r="111" spans="1:5" ht="12.75" customHeight="1" x14ac:dyDescent="0.3">
      <c r="A111" s="2" t="s">
        <v>238</v>
      </c>
      <c r="B111" s="2" t="s">
        <v>20</v>
      </c>
      <c r="C111" s="3" t="str">
        <f>HYPERLINK("https://springer.com/228")</f>
        <v>https://springer.com/228</v>
      </c>
      <c r="D111" s="2" t="s">
        <v>239</v>
      </c>
      <c r="E111" s="2" t="s">
        <v>8</v>
      </c>
    </row>
    <row r="112" spans="1:5" ht="12.75" customHeight="1" x14ac:dyDescent="0.3">
      <c r="A112" s="2" t="s">
        <v>240</v>
      </c>
      <c r="B112" s="2" t="s">
        <v>10</v>
      </c>
      <c r="C112" s="3" t="str">
        <f>HYPERLINK("https://springer.com/229")</f>
        <v>https://springer.com/229</v>
      </c>
      <c r="D112" s="2" t="s">
        <v>241</v>
      </c>
      <c r="E112" s="2" t="s">
        <v>8</v>
      </c>
    </row>
    <row r="113" spans="1:5" ht="12.75" customHeight="1" x14ac:dyDescent="0.3">
      <c r="A113" s="2" t="s">
        <v>242</v>
      </c>
      <c r="B113" s="2" t="s">
        <v>56</v>
      </c>
      <c r="C113" s="3" t="str">
        <f>HYPERLINK("https://springer.com/231")</f>
        <v>https://springer.com/231</v>
      </c>
      <c r="D113" s="2" t="s">
        <v>243</v>
      </c>
      <c r="E113" s="2" t="s">
        <v>8</v>
      </c>
    </row>
    <row r="114" spans="1:5" ht="12.75" customHeight="1" x14ac:dyDescent="0.3">
      <c r="A114" s="2" t="s">
        <v>244</v>
      </c>
      <c r="B114" s="2" t="s">
        <v>6</v>
      </c>
      <c r="C114" s="3" t="str">
        <f>HYPERLINK("https://springer.com/232")</f>
        <v>https://springer.com/232</v>
      </c>
      <c r="D114" s="2" t="s">
        <v>245</v>
      </c>
      <c r="E114" s="2" t="s">
        <v>8</v>
      </c>
    </row>
    <row r="115" spans="1:5" ht="12.75" customHeight="1" x14ac:dyDescent="0.3">
      <c r="A115" s="2" t="s">
        <v>246</v>
      </c>
      <c r="B115" s="2" t="s">
        <v>10</v>
      </c>
      <c r="C115" s="3" t="str">
        <f>HYPERLINK("https://springer.com/233")</f>
        <v>https://springer.com/233</v>
      </c>
      <c r="D115" s="2" t="s">
        <v>247</v>
      </c>
      <c r="E115" s="2" t="s">
        <v>8</v>
      </c>
    </row>
    <row r="116" spans="1:5" ht="12.75" customHeight="1" x14ac:dyDescent="0.3">
      <c r="A116" s="2" t="s">
        <v>248</v>
      </c>
      <c r="B116" s="2" t="s">
        <v>78</v>
      </c>
      <c r="C116" s="3" t="str">
        <f>HYPERLINK("https://springer.com/234")</f>
        <v>https://springer.com/234</v>
      </c>
      <c r="D116" s="2" t="s">
        <v>249</v>
      </c>
      <c r="E116" s="2" t="s">
        <v>8</v>
      </c>
    </row>
    <row r="117" spans="1:5" ht="12.75" customHeight="1" x14ac:dyDescent="0.3">
      <c r="A117" s="2" t="s">
        <v>250</v>
      </c>
      <c r="B117" s="2" t="s">
        <v>63</v>
      </c>
      <c r="C117" s="3" t="str">
        <f>HYPERLINK("https://springer.com/236")</f>
        <v>https://springer.com/236</v>
      </c>
      <c r="D117" s="2" t="s">
        <v>251</v>
      </c>
      <c r="E117" s="2" t="s">
        <v>8</v>
      </c>
    </row>
    <row r="118" spans="1:5" ht="12.75" customHeight="1" x14ac:dyDescent="0.3">
      <c r="A118" s="2" t="s">
        <v>252</v>
      </c>
      <c r="B118" s="2" t="s">
        <v>78</v>
      </c>
      <c r="C118" s="3" t="str">
        <f>HYPERLINK("https://springer.com/238")</f>
        <v>https://springer.com/238</v>
      </c>
      <c r="D118" s="2" t="s">
        <v>253</v>
      </c>
      <c r="E118" s="2" t="s">
        <v>8</v>
      </c>
    </row>
    <row r="119" spans="1:5" ht="12.75" customHeight="1" x14ac:dyDescent="0.3">
      <c r="A119" s="2" t="s">
        <v>254</v>
      </c>
      <c r="B119" s="2" t="s">
        <v>6</v>
      </c>
      <c r="C119" s="3" t="str">
        <f>HYPERLINK("https://springer.com/239")</f>
        <v>https://springer.com/239</v>
      </c>
      <c r="D119" s="2" t="s">
        <v>255</v>
      </c>
      <c r="E119" s="2" t="s">
        <v>8</v>
      </c>
    </row>
    <row r="120" spans="1:5" ht="12.75" customHeight="1" x14ac:dyDescent="0.3">
      <c r="A120" s="2" t="s">
        <v>256</v>
      </c>
      <c r="B120" s="2" t="s">
        <v>78</v>
      </c>
      <c r="C120" s="3" t="str">
        <f>HYPERLINK("https://springer.com/240")</f>
        <v>https://springer.com/240</v>
      </c>
      <c r="D120" s="2" t="s">
        <v>257</v>
      </c>
      <c r="E120" s="2" t="s">
        <v>8</v>
      </c>
    </row>
    <row r="121" spans="1:5" ht="12.75" customHeight="1" x14ac:dyDescent="0.3">
      <c r="A121" s="2" t="s">
        <v>258</v>
      </c>
      <c r="B121" s="2" t="s">
        <v>133</v>
      </c>
      <c r="C121" s="3" t="str">
        <f>HYPERLINK("https://springer.com/244")</f>
        <v>https://springer.com/244</v>
      </c>
      <c r="D121" s="2" t="s">
        <v>259</v>
      </c>
      <c r="E121" s="2" t="s">
        <v>8</v>
      </c>
    </row>
    <row r="122" spans="1:5" ht="12.75" customHeight="1" x14ac:dyDescent="0.3">
      <c r="A122" s="2" t="s">
        <v>260</v>
      </c>
      <c r="B122" s="2" t="s">
        <v>10</v>
      </c>
      <c r="C122" s="3" t="str">
        <f>HYPERLINK("https://springer.com/245")</f>
        <v>https://springer.com/245</v>
      </c>
      <c r="D122" s="2" t="s">
        <v>261</v>
      </c>
      <c r="E122" s="2" t="s">
        <v>8</v>
      </c>
    </row>
    <row r="123" spans="1:5" ht="12.75" customHeight="1" x14ac:dyDescent="0.3">
      <c r="A123" s="2" t="s">
        <v>262</v>
      </c>
      <c r="B123" s="2" t="s">
        <v>78</v>
      </c>
      <c r="C123" s="3" t="str">
        <f>HYPERLINK("https://springer.com/246")</f>
        <v>https://springer.com/246</v>
      </c>
      <c r="D123" s="2" t="s">
        <v>263</v>
      </c>
      <c r="E123" s="2" t="s">
        <v>8</v>
      </c>
    </row>
    <row r="124" spans="1:5" ht="12.75" customHeight="1" x14ac:dyDescent="0.3">
      <c r="A124" s="2" t="s">
        <v>264</v>
      </c>
      <c r="B124" s="2" t="s">
        <v>78</v>
      </c>
      <c r="C124" s="3" t="str">
        <f>HYPERLINK("https://springer.com/247")</f>
        <v>https://springer.com/247</v>
      </c>
      <c r="D124" s="2" t="s">
        <v>265</v>
      </c>
      <c r="E124" s="2" t="s">
        <v>8</v>
      </c>
    </row>
    <row r="125" spans="1:5" ht="12.75" customHeight="1" x14ac:dyDescent="0.3">
      <c r="A125" s="2" t="s">
        <v>266</v>
      </c>
      <c r="B125" s="2" t="s">
        <v>6</v>
      </c>
      <c r="C125" s="3" t="str">
        <f>HYPERLINK("https://springer.com/249")</f>
        <v>https://springer.com/249</v>
      </c>
      <c r="D125" s="2" t="s">
        <v>267</v>
      </c>
      <c r="E125" s="2" t="s">
        <v>8</v>
      </c>
    </row>
    <row r="126" spans="1:5" ht="12.75" customHeight="1" x14ac:dyDescent="0.3">
      <c r="A126" s="2" t="s">
        <v>268</v>
      </c>
      <c r="B126" s="2" t="s">
        <v>20</v>
      </c>
      <c r="C126" s="3" t="str">
        <f>HYPERLINK("https://springer.com/251")</f>
        <v>https://springer.com/251</v>
      </c>
      <c r="D126" s="2" t="s">
        <v>269</v>
      </c>
      <c r="E126" s="2" t="s">
        <v>8</v>
      </c>
    </row>
    <row r="127" spans="1:5" ht="12.75" customHeight="1" x14ac:dyDescent="0.3">
      <c r="A127" s="2" t="s">
        <v>270</v>
      </c>
      <c r="B127" s="2" t="s">
        <v>78</v>
      </c>
      <c r="C127" s="3" t="str">
        <f>HYPERLINK("https://springer.com/256")</f>
        <v>https://springer.com/256</v>
      </c>
      <c r="D127" s="2" t="s">
        <v>271</v>
      </c>
      <c r="E127" s="2" t="s">
        <v>8</v>
      </c>
    </row>
    <row r="128" spans="1:5" ht="12.75" customHeight="1" x14ac:dyDescent="0.3">
      <c r="A128" s="2" t="s">
        <v>272</v>
      </c>
      <c r="B128" s="2" t="s">
        <v>78</v>
      </c>
      <c r="C128" s="3" t="str">
        <f>HYPERLINK("https://springer.com/259")</f>
        <v>https://springer.com/259</v>
      </c>
      <c r="D128" s="2" t="s">
        <v>273</v>
      </c>
      <c r="E128" s="2" t="s">
        <v>8</v>
      </c>
    </row>
    <row r="129" spans="1:5" ht="12.75" customHeight="1" x14ac:dyDescent="0.3">
      <c r="A129" s="2" t="s">
        <v>274</v>
      </c>
      <c r="B129" s="2" t="s">
        <v>78</v>
      </c>
      <c r="C129" s="3" t="str">
        <f>HYPERLINK("https://springer.com/261")</f>
        <v>https://springer.com/261</v>
      </c>
      <c r="D129" s="2" t="s">
        <v>275</v>
      </c>
      <c r="E129" s="2" t="s">
        <v>8</v>
      </c>
    </row>
    <row r="130" spans="1:5" ht="12.75" customHeight="1" x14ac:dyDescent="0.3">
      <c r="A130" s="2" t="s">
        <v>276</v>
      </c>
      <c r="B130" s="2" t="s">
        <v>78</v>
      </c>
      <c r="C130" s="3" t="str">
        <f>HYPERLINK("https://springer.com/264")</f>
        <v>https://springer.com/264</v>
      </c>
      <c r="D130" s="2" t="s">
        <v>277</v>
      </c>
      <c r="E130" s="2" t="s">
        <v>8</v>
      </c>
    </row>
    <row r="131" spans="1:5" ht="12.75" customHeight="1" x14ac:dyDescent="0.3">
      <c r="A131" s="2" t="s">
        <v>278</v>
      </c>
      <c r="B131" s="2" t="s">
        <v>6</v>
      </c>
      <c r="C131" s="3" t="str">
        <f>HYPERLINK("https://springer.com/265")</f>
        <v>https://springer.com/265</v>
      </c>
      <c r="D131" s="2" t="s">
        <v>279</v>
      </c>
      <c r="E131" s="2" t="s">
        <v>8</v>
      </c>
    </row>
    <row r="132" spans="1:5" ht="12.75" customHeight="1" x14ac:dyDescent="0.3">
      <c r="A132" s="2" t="s">
        <v>280</v>
      </c>
      <c r="B132" s="2" t="s">
        <v>78</v>
      </c>
      <c r="C132" s="3" t="str">
        <f>HYPERLINK("https://springer.com/266")</f>
        <v>https://springer.com/266</v>
      </c>
      <c r="D132" s="2" t="s">
        <v>281</v>
      </c>
      <c r="E132" s="2" t="s">
        <v>8</v>
      </c>
    </row>
    <row r="133" spans="1:5" ht="12.75" customHeight="1" x14ac:dyDescent="0.3">
      <c r="A133" s="2" t="s">
        <v>282</v>
      </c>
      <c r="B133" s="2" t="s">
        <v>133</v>
      </c>
      <c r="C133" s="3" t="str">
        <f>HYPERLINK("https://springer.com/267")</f>
        <v>https://springer.com/267</v>
      </c>
      <c r="D133" s="2" t="s">
        <v>283</v>
      </c>
      <c r="E133" s="2" t="s">
        <v>8</v>
      </c>
    </row>
    <row r="134" spans="1:5" ht="12.75" customHeight="1" x14ac:dyDescent="0.3">
      <c r="A134" s="2" t="s">
        <v>284</v>
      </c>
      <c r="B134" s="2" t="s">
        <v>26</v>
      </c>
      <c r="C134" s="3" t="str">
        <f>HYPERLINK("https://springer.com/269")</f>
        <v>https://springer.com/269</v>
      </c>
      <c r="D134" s="2" t="s">
        <v>285</v>
      </c>
      <c r="E134" s="2" t="s">
        <v>8</v>
      </c>
    </row>
    <row r="135" spans="1:5" ht="12.75" customHeight="1" x14ac:dyDescent="0.3">
      <c r="A135" s="2" t="s">
        <v>286</v>
      </c>
      <c r="B135" s="2" t="s">
        <v>78</v>
      </c>
      <c r="C135" s="3" t="str">
        <f>HYPERLINK("https://springer.com/270")</f>
        <v>https://springer.com/270</v>
      </c>
      <c r="D135" s="2" t="s">
        <v>287</v>
      </c>
      <c r="E135" s="2" t="s">
        <v>8</v>
      </c>
    </row>
    <row r="136" spans="1:5" ht="12.75" customHeight="1" x14ac:dyDescent="0.3">
      <c r="A136" s="2" t="s">
        <v>288</v>
      </c>
      <c r="B136" s="2" t="s">
        <v>6</v>
      </c>
      <c r="C136" s="3" t="str">
        <f>HYPERLINK("https://springer.com/271")</f>
        <v>https://springer.com/271</v>
      </c>
      <c r="D136" s="2" t="s">
        <v>289</v>
      </c>
      <c r="E136" s="2" t="s">
        <v>8</v>
      </c>
    </row>
    <row r="137" spans="1:5" ht="12.75" customHeight="1" x14ac:dyDescent="0.3">
      <c r="A137" s="2" t="s">
        <v>290</v>
      </c>
      <c r="B137" s="2" t="s">
        <v>78</v>
      </c>
      <c r="C137" s="3" t="str">
        <f>HYPERLINK("https://springer.com/276")</f>
        <v>https://springer.com/276</v>
      </c>
      <c r="D137" s="2" t="s">
        <v>291</v>
      </c>
      <c r="E137" s="2" t="s">
        <v>8</v>
      </c>
    </row>
    <row r="138" spans="1:5" ht="12.75" customHeight="1" x14ac:dyDescent="0.3">
      <c r="A138" s="2" t="s">
        <v>292</v>
      </c>
      <c r="B138" s="2" t="s">
        <v>78</v>
      </c>
      <c r="C138" s="3" t="str">
        <f>HYPERLINK("https://springer.com/278")</f>
        <v>https://springer.com/278</v>
      </c>
      <c r="D138" s="2" t="s">
        <v>293</v>
      </c>
      <c r="E138" s="2" t="s">
        <v>8</v>
      </c>
    </row>
    <row r="139" spans="1:5" ht="12.75" customHeight="1" x14ac:dyDescent="0.3">
      <c r="A139" s="2" t="s">
        <v>294</v>
      </c>
      <c r="B139" s="2" t="s">
        <v>78</v>
      </c>
      <c r="C139" s="3" t="str">
        <f>HYPERLINK("https://springer.com/280")</f>
        <v>https://springer.com/280</v>
      </c>
      <c r="D139" s="2" t="s">
        <v>295</v>
      </c>
      <c r="E139" s="2" t="s">
        <v>8</v>
      </c>
    </row>
    <row r="140" spans="1:5" ht="12.75" customHeight="1" x14ac:dyDescent="0.3">
      <c r="A140" s="2" t="s">
        <v>296</v>
      </c>
      <c r="B140" s="2" t="s">
        <v>20</v>
      </c>
      <c r="C140" s="3" t="str">
        <f>HYPERLINK("https://springer.com/281")</f>
        <v>https://springer.com/281</v>
      </c>
      <c r="D140" s="2" t="s">
        <v>297</v>
      </c>
      <c r="E140" s="2" t="s">
        <v>8</v>
      </c>
    </row>
    <row r="141" spans="1:5" ht="12.75" customHeight="1" x14ac:dyDescent="0.3">
      <c r="A141" s="2" t="s">
        <v>298</v>
      </c>
      <c r="B141" s="2" t="s">
        <v>10</v>
      </c>
      <c r="C141" s="3" t="str">
        <f>HYPERLINK("https://springer.com/283")</f>
        <v>https://springer.com/283</v>
      </c>
      <c r="D141" s="2" t="s">
        <v>299</v>
      </c>
      <c r="E141" s="2" t="s">
        <v>8</v>
      </c>
    </row>
    <row r="142" spans="1:5" ht="12.75" customHeight="1" x14ac:dyDescent="0.3">
      <c r="A142" s="2" t="s">
        <v>300</v>
      </c>
      <c r="B142" s="2" t="s">
        <v>6</v>
      </c>
      <c r="C142" s="3" t="str">
        <f>HYPERLINK("https://springer.com/284")</f>
        <v>https://springer.com/284</v>
      </c>
      <c r="D142" s="2" t="s">
        <v>301</v>
      </c>
      <c r="E142" s="2" t="s">
        <v>8</v>
      </c>
    </row>
    <row r="143" spans="1:5" ht="12.75" customHeight="1" x14ac:dyDescent="0.3">
      <c r="A143" s="2" t="s">
        <v>302</v>
      </c>
      <c r="B143" s="2" t="s">
        <v>10</v>
      </c>
      <c r="C143" s="3" t="str">
        <f>HYPERLINK("https://springer.com/285")</f>
        <v>https://springer.com/285</v>
      </c>
      <c r="D143" s="2" t="s">
        <v>303</v>
      </c>
      <c r="E143" s="2" t="s">
        <v>8</v>
      </c>
    </row>
    <row r="144" spans="1:5" ht="12.75" customHeight="1" x14ac:dyDescent="0.3">
      <c r="A144" s="2" t="s">
        <v>304</v>
      </c>
      <c r="B144" s="2" t="s">
        <v>63</v>
      </c>
      <c r="C144" s="3" t="str">
        <f>HYPERLINK("https://springer.com/287")</f>
        <v>https://springer.com/287</v>
      </c>
      <c r="D144" s="2" t="s">
        <v>305</v>
      </c>
      <c r="E144" s="2" t="s">
        <v>8</v>
      </c>
    </row>
    <row r="145" spans="1:5" ht="12.75" customHeight="1" x14ac:dyDescent="0.3">
      <c r="A145" s="2" t="s">
        <v>306</v>
      </c>
      <c r="B145" s="2" t="s">
        <v>218</v>
      </c>
      <c r="C145" s="3" t="str">
        <f>HYPERLINK("https://springer.com/289")</f>
        <v>https://springer.com/289</v>
      </c>
      <c r="D145" s="2" t="s">
        <v>307</v>
      </c>
      <c r="E145" s="2" t="s">
        <v>8</v>
      </c>
    </row>
    <row r="146" spans="1:5" ht="12.75" customHeight="1" x14ac:dyDescent="0.3">
      <c r="A146" s="2" t="s">
        <v>308</v>
      </c>
      <c r="B146" s="2" t="s">
        <v>181</v>
      </c>
      <c r="C146" s="3" t="str">
        <f>HYPERLINK("https://springer.com/291")</f>
        <v>https://springer.com/291</v>
      </c>
      <c r="D146" s="2" t="s">
        <v>309</v>
      </c>
      <c r="E146" s="2" t="s">
        <v>8</v>
      </c>
    </row>
    <row r="147" spans="1:5" ht="12.75" customHeight="1" x14ac:dyDescent="0.3">
      <c r="A147" s="2" t="s">
        <v>310</v>
      </c>
      <c r="B147" s="2" t="s">
        <v>78</v>
      </c>
      <c r="C147" s="3" t="str">
        <f>HYPERLINK("https://springer.com/292")</f>
        <v>https://springer.com/292</v>
      </c>
      <c r="D147" s="2" t="s">
        <v>311</v>
      </c>
      <c r="E147" s="2" t="s">
        <v>8</v>
      </c>
    </row>
    <row r="148" spans="1:5" ht="12.75" customHeight="1" x14ac:dyDescent="0.3">
      <c r="A148" s="2" t="s">
        <v>312</v>
      </c>
      <c r="B148" s="2" t="s">
        <v>6</v>
      </c>
      <c r="C148" s="3" t="str">
        <f>HYPERLINK("https://springer.com/294")</f>
        <v>https://springer.com/294</v>
      </c>
      <c r="D148" s="2" t="s">
        <v>313</v>
      </c>
      <c r="E148" s="2" t="s">
        <v>8</v>
      </c>
    </row>
    <row r="149" spans="1:5" ht="12.75" customHeight="1" x14ac:dyDescent="0.3">
      <c r="A149" s="2" t="s">
        <v>314</v>
      </c>
      <c r="B149" s="2" t="s">
        <v>78</v>
      </c>
      <c r="C149" s="3" t="str">
        <f>HYPERLINK("https://springer.com/296")</f>
        <v>https://springer.com/296</v>
      </c>
      <c r="D149" s="2" t="s">
        <v>315</v>
      </c>
      <c r="E149" s="2" t="s">
        <v>8</v>
      </c>
    </row>
    <row r="150" spans="1:5" ht="12.75" customHeight="1" x14ac:dyDescent="0.3">
      <c r="A150" s="2" t="s">
        <v>316</v>
      </c>
      <c r="B150" s="2" t="s">
        <v>6</v>
      </c>
      <c r="C150" s="3" t="str">
        <f>HYPERLINK("https://springer.com/299")</f>
        <v>https://springer.com/299</v>
      </c>
      <c r="D150" s="2" t="s">
        <v>317</v>
      </c>
      <c r="E150" s="2" t="s">
        <v>8</v>
      </c>
    </row>
    <row r="151" spans="1:5" ht="12.75" customHeight="1" x14ac:dyDescent="0.3">
      <c r="A151" s="2" t="s">
        <v>318</v>
      </c>
      <c r="B151" s="2" t="s">
        <v>6</v>
      </c>
      <c r="C151" s="3" t="str">
        <f>HYPERLINK("https://springer.com/300")</f>
        <v>https://springer.com/300</v>
      </c>
      <c r="D151" s="2" t="s">
        <v>319</v>
      </c>
      <c r="E151" s="2" t="s">
        <v>8</v>
      </c>
    </row>
    <row r="152" spans="1:5" ht="12.75" customHeight="1" x14ac:dyDescent="0.3">
      <c r="A152" s="2" t="s">
        <v>320</v>
      </c>
      <c r="B152" s="2" t="s">
        <v>78</v>
      </c>
      <c r="C152" s="3" t="str">
        <f>HYPERLINK("https://springer.com/330")</f>
        <v>https://springer.com/330</v>
      </c>
      <c r="D152" s="2" t="s">
        <v>321</v>
      </c>
      <c r="E152" s="2" t="s">
        <v>8</v>
      </c>
    </row>
    <row r="153" spans="1:5" ht="12.75" customHeight="1" x14ac:dyDescent="0.3">
      <c r="A153" s="2" t="s">
        <v>322</v>
      </c>
      <c r="B153" s="2" t="s">
        <v>10</v>
      </c>
      <c r="C153" s="3" t="str">
        <f>HYPERLINK("https://springer.com/332")</f>
        <v>https://springer.com/332</v>
      </c>
      <c r="D153" s="2" t="s">
        <v>323</v>
      </c>
      <c r="E153" s="2" t="s">
        <v>8</v>
      </c>
    </row>
    <row r="154" spans="1:5" ht="12.75" customHeight="1" x14ac:dyDescent="0.3">
      <c r="A154" s="2" t="s">
        <v>324</v>
      </c>
      <c r="B154" s="2" t="s">
        <v>26</v>
      </c>
      <c r="C154" s="3" t="str">
        <f>HYPERLINK("https://springer.com/334")</f>
        <v>https://springer.com/334</v>
      </c>
      <c r="D154" s="2" t="s">
        <v>325</v>
      </c>
      <c r="E154" s="2" t="s">
        <v>8</v>
      </c>
    </row>
    <row r="155" spans="1:5" ht="12.75" customHeight="1" x14ac:dyDescent="0.3">
      <c r="A155" s="2" t="s">
        <v>326</v>
      </c>
      <c r="B155" s="2" t="s">
        <v>6</v>
      </c>
      <c r="C155" s="3" t="str">
        <f>HYPERLINK("https://springer.com/335")</f>
        <v>https://springer.com/335</v>
      </c>
      <c r="D155" s="2" t="s">
        <v>327</v>
      </c>
      <c r="E155" s="2" t="s">
        <v>8</v>
      </c>
    </row>
    <row r="156" spans="1:5" ht="12.75" customHeight="1" x14ac:dyDescent="0.3">
      <c r="A156" s="2" t="s">
        <v>328</v>
      </c>
      <c r="B156" s="2" t="s">
        <v>78</v>
      </c>
      <c r="C156" s="3" t="str">
        <f>HYPERLINK("https://springer.com/337")</f>
        <v>https://springer.com/337</v>
      </c>
      <c r="D156" s="2" t="s">
        <v>329</v>
      </c>
      <c r="E156" s="2" t="s">
        <v>8</v>
      </c>
    </row>
    <row r="157" spans="1:5" ht="12.75" customHeight="1" x14ac:dyDescent="0.3">
      <c r="A157" s="2" t="s">
        <v>330</v>
      </c>
      <c r="B157" s="2" t="s">
        <v>6</v>
      </c>
      <c r="C157" s="3" t="str">
        <f>HYPERLINK("https://springer.com/338")</f>
        <v>https://springer.com/338</v>
      </c>
      <c r="D157" s="2" t="s">
        <v>331</v>
      </c>
      <c r="E157" s="2" t="s">
        <v>8</v>
      </c>
    </row>
    <row r="158" spans="1:5" ht="12.75" customHeight="1" x14ac:dyDescent="0.3">
      <c r="A158" s="2" t="s">
        <v>332</v>
      </c>
      <c r="B158" s="2" t="s">
        <v>13</v>
      </c>
      <c r="C158" s="3" t="str">
        <f>HYPERLINK("https://springer.com/339")</f>
        <v>https://springer.com/339</v>
      </c>
      <c r="D158" s="2" t="s">
        <v>333</v>
      </c>
      <c r="E158" s="2" t="s">
        <v>8</v>
      </c>
    </row>
    <row r="159" spans="1:5" ht="12.75" customHeight="1" x14ac:dyDescent="0.3">
      <c r="A159" s="2" t="s">
        <v>334</v>
      </c>
      <c r="B159" s="2" t="s">
        <v>13</v>
      </c>
      <c r="C159" s="3" t="str">
        <f>HYPERLINK("https://springer.com/340")</f>
        <v>https://springer.com/340</v>
      </c>
      <c r="D159" s="2" t="s">
        <v>335</v>
      </c>
      <c r="E159" s="2" t="s">
        <v>8</v>
      </c>
    </row>
    <row r="160" spans="1:5" ht="12.75" customHeight="1" x14ac:dyDescent="0.3">
      <c r="A160" s="2" t="s">
        <v>336</v>
      </c>
      <c r="B160" s="2" t="s">
        <v>26</v>
      </c>
      <c r="C160" s="3" t="str">
        <f>HYPERLINK("https://springer.com/343")</f>
        <v>https://springer.com/343</v>
      </c>
      <c r="D160" s="2" t="s">
        <v>337</v>
      </c>
      <c r="E160" s="2" t="s">
        <v>8</v>
      </c>
    </row>
    <row r="161" spans="1:5" ht="12.75" customHeight="1" x14ac:dyDescent="0.3">
      <c r="A161" s="2" t="s">
        <v>338</v>
      </c>
      <c r="B161" s="2" t="s">
        <v>6</v>
      </c>
      <c r="C161" s="3" t="str">
        <f>HYPERLINK("https://springer.com/344")</f>
        <v>https://springer.com/344</v>
      </c>
      <c r="D161" s="2" t="s">
        <v>339</v>
      </c>
      <c r="E161" s="2" t="s">
        <v>8</v>
      </c>
    </row>
    <row r="162" spans="1:5" ht="12.75" customHeight="1" x14ac:dyDescent="0.3">
      <c r="A162" s="2" t="s">
        <v>340</v>
      </c>
      <c r="B162" s="2" t="s">
        <v>78</v>
      </c>
      <c r="C162" s="3" t="str">
        <f>HYPERLINK("https://springer.com/345")</f>
        <v>https://springer.com/345</v>
      </c>
      <c r="D162" s="2" t="s">
        <v>341</v>
      </c>
      <c r="E162" s="2" t="s">
        <v>8</v>
      </c>
    </row>
    <row r="163" spans="1:5" ht="12.75" customHeight="1" x14ac:dyDescent="0.3">
      <c r="A163" s="2" t="s">
        <v>342</v>
      </c>
      <c r="B163" s="2" t="s">
        <v>78</v>
      </c>
      <c r="C163" s="3" t="str">
        <f>HYPERLINK("https://springer.com/347")</f>
        <v>https://springer.com/347</v>
      </c>
      <c r="D163" s="2" t="s">
        <v>343</v>
      </c>
      <c r="E163" s="2" t="s">
        <v>8</v>
      </c>
    </row>
    <row r="164" spans="1:5" ht="12.75" customHeight="1" x14ac:dyDescent="0.3">
      <c r="A164" s="2" t="s">
        <v>344</v>
      </c>
      <c r="B164" s="2" t="s">
        <v>56</v>
      </c>
      <c r="C164" s="3" t="str">
        <f>HYPERLINK("https://springer.com/348")</f>
        <v>https://springer.com/348</v>
      </c>
      <c r="D164" s="2" t="s">
        <v>345</v>
      </c>
      <c r="E164" s="2" t="s">
        <v>8</v>
      </c>
    </row>
    <row r="165" spans="1:5" ht="12.75" customHeight="1" x14ac:dyDescent="0.3">
      <c r="A165" s="2" t="s">
        <v>346</v>
      </c>
      <c r="B165" s="2" t="s">
        <v>347</v>
      </c>
      <c r="C165" s="3" t="str">
        <f>HYPERLINK("https://springer.com/350")</f>
        <v>https://springer.com/350</v>
      </c>
      <c r="D165" s="2" t="s">
        <v>348</v>
      </c>
      <c r="E165" s="2" t="s">
        <v>8</v>
      </c>
    </row>
    <row r="166" spans="1:5" ht="12.75" customHeight="1" x14ac:dyDescent="0.3">
      <c r="A166" s="2" t="s">
        <v>349</v>
      </c>
      <c r="B166" s="2" t="s">
        <v>63</v>
      </c>
      <c r="C166" s="3" t="str">
        <f>HYPERLINK("https://springer.com/354")</f>
        <v>https://springer.com/354</v>
      </c>
      <c r="D166" s="2" t="s">
        <v>350</v>
      </c>
      <c r="E166" s="2" t="s">
        <v>8</v>
      </c>
    </row>
    <row r="167" spans="1:5" ht="12.75" customHeight="1" x14ac:dyDescent="0.3">
      <c r="A167" s="2" t="s">
        <v>351</v>
      </c>
      <c r="B167" s="2" t="s">
        <v>151</v>
      </c>
      <c r="C167" s="3" t="str">
        <f>HYPERLINK("https://springer.com/355")</f>
        <v>https://springer.com/355</v>
      </c>
      <c r="D167" s="2" t="s">
        <v>352</v>
      </c>
      <c r="E167" s="2" t="s">
        <v>8</v>
      </c>
    </row>
    <row r="168" spans="1:5" ht="12.75" customHeight="1" x14ac:dyDescent="0.3">
      <c r="A168" s="2" t="s">
        <v>353</v>
      </c>
      <c r="B168" s="2" t="s">
        <v>170</v>
      </c>
      <c r="C168" s="3" t="str">
        <f>HYPERLINK("https://springer.com/357")</f>
        <v>https://springer.com/357</v>
      </c>
      <c r="D168" s="2" t="s">
        <v>354</v>
      </c>
      <c r="E168" s="2" t="s">
        <v>8</v>
      </c>
    </row>
    <row r="169" spans="1:5" ht="12.75" customHeight="1" x14ac:dyDescent="0.3">
      <c r="A169" s="2" t="s">
        <v>355</v>
      </c>
      <c r="B169" s="2" t="s">
        <v>6</v>
      </c>
      <c r="C169" s="3" t="str">
        <f>HYPERLINK("https://springer.com/359")</f>
        <v>https://springer.com/359</v>
      </c>
      <c r="D169" s="2" t="s">
        <v>356</v>
      </c>
      <c r="E169" s="2" t="s">
        <v>8</v>
      </c>
    </row>
    <row r="170" spans="1:5" ht="12.75" customHeight="1" x14ac:dyDescent="0.3">
      <c r="A170" s="2" t="s">
        <v>357</v>
      </c>
      <c r="B170" s="2" t="s">
        <v>6</v>
      </c>
      <c r="C170" s="3" t="str">
        <f>HYPERLINK("https://springer.com/360")</f>
        <v>https://springer.com/360</v>
      </c>
      <c r="D170" s="2" t="s">
        <v>358</v>
      </c>
      <c r="E170" s="2" t="s">
        <v>8</v>
      </c>
    </row>
    <row r="171" spans="1:5" ht="12.75" customHeight="1" x14ac:dyDescent="0.3">
      <c r="A171" s="2" t="s">
        <v>359</v>
      </c>
      <c r="B171" s="2" t="s">
        <v>170</v>
      </c>
      <c r="C171" s="3" t="str">
        <f>HYPERLINK("https://springer.com/362")</f>
        <v>https://springer.com/362</v>
      </c>
      <c r="D171" s="2" t="s">
        <v>360</v>
      </c>
      <c r="E171" s="2" t="s">
        <v>8</v>
      </c>
    </row>
    <row r="172" spans="1:5" ht="12.75" customHeight="1" x14ac:dyDescent="0.3">
      <c r="A172" s="2" t="s">
        <v>361</v>
      </c>
      <c r="B172" s="2" t="s">
        <v>10</v>
      </c>
      <c r="C172" s="3" t="str">
        <f>HYPERLINK("https://springer.com/365")</f>
        <v>https://springer.com/365</v>
      </c>
      <c r="D172" s="2" t="s">
        <v>362</v>
      </c>
      <c r="E172" s="2" t="s">
        <v>8</v>
      </c>
    </row>
    <row r="173" spans="1:5" ht="12.75" customHeight="1" x14ac:dyDescent="0.3">
      <c r="A173" s="2" t="s">
        <v>363</v>
      </c>
      <c r="B173" s="2" t="s">
        <v>63</v>
      </c>
      <c r="C173" s="3" t="str">
        <f>HYPERLINK("https://springer.com/366")</f>
        <v>https://springer.com/366</v>
      </c>
      <c r="D173" s="2" t="s">
        <v>364</v>
      </c>
      <c r="E173" s="2" t="s">
        <v>8</v>
      </c>
    </row>
    <row r="174" spans="1:5" ht="12.75" customHeight="1" x14ac:dyDescent="0.3">
      <c r="A174" s="2" t="s">
        <v>365</v>
      </c>
      <c r="B174" s="2" t="s">
        <v>26</v>
      </c>
      <c r="C174" s="3" t="str">
        <f>HYPERLINK("https://springer.com/367")</f>
        <v>https://springer.com/367</v>
      </c>
      <c r="D174" s="2" t="s">
        <v>366</v>
      </c>
      <c r="E174" s="2" t="s">
        <v>8</v>
      </c>
    </row>
    <row r="175" spans="1:5" ht="12.75" customHeight="1" x14ac:dyDescent="0.3">
      <c r="A175" s="2" t="s">
        <v>367</v>
      </c>
      <c r="B175" s="2" t="s">
        <v>63</v>
      </c>
      <c r="C175" s="3" t="str">
        <f>HYPERLINK("https://springer.com/371")</f>
        <v>https://springer.com/371</v>
      </c>
      <c r="D175" s="2" t="s">
        <v>368</v>
      </c>
      <c r="E175" s="2" t="s">
        <v>8</v>
      </c>
    </row>
    <row r="176" spans="1:5" ht="12.75" customHeight="1" x14ac:dyDescent="0.3">
      <c r="A176" s="2" t="s">
        <v>369</v>
      </c>
      <c r="B176" s="2" t="s">
        <v>10</v>
      </c>
      <c r="C176" s="3" t="str">
        <f>HYPERLINK("https://springer.com/373")</f>
        <v>https://springer.com/373</v>
      </c>
      <c r="D176" s="2" t="s">
        <v>370</v>
      </c>
      <c r="E176" s="2" t="s">
        <v>8</v>
      </c>
    </row>
    <row r="177" spans="1:5" ht="12.75" customHeight="1" x14ac:dyDescent="0.3">
      <c r="A177" s="2" t="s">
        <v>371</v>
      </c>
      <c r="B177" s="2" t="s">
        <v>6</v>
      </c>
      <c r="C177" s="3" t="str">
        <f>HYPERLINK("https://springer.com/374")</f>
        <v>https://springer.com/374</v>
      </c>
      <c r="D177" s="2" t="s">
        <v>372</v>
      </c>
      <c r="E177" s="2" t="s">
        <v>8</v>
      </c>
    </row>
    <row r="178" spans="1:5" ht="12.75" customHeight="1" x14ac:dyDescent="0.3">
      <c r="A178" s="2" t="s">
        <v>373</v>
      </c>
      <c r="B178" s="2" t="s">
        <v>26</v>
      </c>
      <c r="C178" s="3" t="str">
        <f>HYPERLINK("https://springer.com/376")</f>
        <v>https://springer.com/376</v>
      </c>
      <c r="D178" s="2" t="s">
        <v>374</v>
      </c>
      <c r="E178" s="2" t="s">
        <v>8</v>
      </c>
    </row>
    <row r="179" spans="1:5" ht="12.75" customHeight="1" x14ac:dyDescent="0.3">
      <c r="A179" s="2" t="s">
        <v>375</v>
      </c>
      <c r="B179" s="2" t="s">
        <v>78</v>
      </c>
      <c r="C179" s="3" t="str">
        <f>HYPERLINK("https://springer.com/380")</f>
        <v>https://springer.com/380</v>
      </c>
      <c r="D179" s="2" t="s">
        <v>376</v>
      </c>
      <c r="E179" s="2" t="s">
        <v>8</v>
      </c>
    </row>
    <row r="180" spans="1:5" ht="12.75" customHeight="1" x14ac:dyDescent="0.3">
      <c r="A180" s="2" t="s">
        <v>377</v>
      </c>
      <c r="B180" s="2" t="s">
        <v>78</v>
      </c>
      <c r="C180" s="3" t="str">
        <f>HYPERLINK("https://springer.com/381")</f>
        <v>https://springer.com/381</v>
      </c>
      <c r="D180" s="2" t="s">
        <v>378</v>
      </c>
      <c r="E180" s="2" t="s">
        <v>8</v>
      </c>
    </row>
    <row r="181" spans="1:5" ht="12.75" customHeight="1" x14ac:dyDescent="0.3">
      <c r="A181" s="2" t="s">
        <v>379</v>
      </c>
      <c r="B181" s="2" t="s">
        <v>26</v>
      </c>
      <c r="C181" s="3" t="str">
        <f>HYPERLINK("https://springer.com/382")</f>
        <v>https://springer.com/382</v>
      </c>
      <c r="D181" s="2" t="s">
        <v>380</v>
      </c>
      <c r="E181" s="2" t="s">
        <v>8</v>
      </c>
    </row>
    <row r="182" spans="1:5" ht="12.75" customHeight="1" x14ac:dyDescent="0.3">
      <c r="A182" s="2" t="s">
        <v>381</v>
      </c>
      <c r="B182" s="2" t="s">
        <v>78</v>
      </c>
      <c r="C182" s="3" t="str">
        <f>HYPERLINK("https://springer.com/383")</f>
        <v>https://springer.com/383</v>
      </c>
      <c r="D182" s="2" t="s">
        <v>382</v>
      </c>
      <c r="E182" s="2" t="s">
        <v>8</v>
      </c>
    </row>
    <row r="183" spans="1:5" ht="12.75" customHeight="1" x14ac:dyDescent="0.3">
      <c r="A183" s="2" t="s">
        <v>383</v>
      </c>
      <c r="B183" s="2" t="s">
        <v>78</v>
      </c>
      <c r="C183" s="3" t="str">
        <f>HYPERLINK("https://springer.com/391")</f>
        <v>https://springer.com/391</v>
      </c>
      <c r="D183" s="2" t="s">
        <v>384</v>
      </c>
      <c r="E183" s="2" t="s">
        <v>8</v>
      </c>
    </row>
    <row r="184" spans="1:5" ht="12.75" customHeight="1" x14ac:dyDescent="0.3">
      <c r="A184" s="2" t="s">
        <v>385</v>
      </c>
      <c r="B184" s="2" t="s">
        <v>78</v>
      </c>
      <c r="C184" s="3" t="str">
        <f>HYPERLINK("https://springer.com/392")</f>
        <v>https://springer.com/392</v>
      </c>
      <c r="D184" s="2" t="s">
        <v>386</v>
      </c>
      <c r="E184" s="2" t="s">
        <v>8</v>
      </c>
    </row>
    <row r="185" spans="1:5" ht="12.75" customHeight="1" x14ac:dyDescent="0.3">
      <c r="A185" s="2" t="s">
        <v>387</v>
      </c>
      <c r="B185" s="2" t="s">
        <v>78</v>
      </c>
      <c r="C185" s="3" t="str">
        <f>HYPERLINK("https://springer.com/393")</f>
        <v>https://springer.com/393</v>
      </c>
      <c r="D185" s="2" t="s">
        <v>388</v>
      </c>
      <c r="E185" s="2" t="s">
        <v>8</v>
      </c>
    </row>
    <row r="186" spans="1:5" ht="12.75" customHeight="1" x14ac:dyDescent="0.3">
      <c r="A186" s="2" t="s">
        <v>389</v>
      </c>
      <c r="B186" s="2" t="s">
        <v>218</v>
      </c>
      <c r="C186" s="3" t="str">
        <f>HYPERLINK("https://springer.com/394")</f>
        <v>https://springer.com/394</v>
      </c>
      <c r="D186" s="2" t="s">
        <v>390</v>
      </c>
      <c r="E186" s="2" t="s">
        <v>8</v>
      </c>
    </row>
    <row r="187" spans="1:5" ht="12.75" customHeight="1" x14ac:dyDescent="0.3">
      <c r="A187" s="2" t="s">
        <v>391</v>
      </c>
      <c r="B187" s="2" t="s">
        <v>78</v>
      </c>
      <c r="C187" s="3" t="str">
        <f>HYPERLINK("https://springer.com/395")</f>
        <v>https://springer.com/395</v>
      </c>
      <c r="D187" s="2" t="s">
        <v>392</v>
      </c>
      <c r="E187" s="2" t="s">
        <v>8</v>
      </c>
    </row>
    <row r="188" spans="1:5" ht="12.75" customHeight="1" x14ac:dyDescent="0.3">
      <c r="A188" s="2" t="s">
        <v>393</v>
      </c>
      <c r="B188" s="2" t="s">
        <v>218</v>
      </c>
      <c r="C188" s="3" t="str">
        <f>HYPERLINK("https://springer.com/396")</f>
        <v>https://springer.com/396</v>
      </c>
      <c r="D188" s="2" t="s">
        <v>394</v>
      </c>
      <c r="E188" s="2" t="s">
        <v>8</v>
      </c>
    </row>
    <row r="189" spans="1:5" ht="12.75" customHeight="1" x14ac:dyDescent="0.3">
      <c r="A189" s="2" t="s">
        <v>395</v>
      </c>
      <c r="B189" s="2" t="s">
        <v>396</v>
      </c>
      <c r="C189" s="3" t="str">
        <f>HYPERLINK("https://springer.com/397")</f>
        <v>https://springer.com/397</v>
      </c>
      <c r="D189" s="2" t="s">
        <v>397</v>
      </c>
      <c r="E189" s="2" t="s">
        <v>8</v>
      </c>
    </row>
    <row r="190" spans="1:5" ht="12.75" customHeight="1" x14ac:dyDescent="0.3">
      <c r="A190" s="2" t="s">
        <v>398</v>
      </c>
      <c r="B190" s="2" t="s">
        <v>78</v>
      </c>
      <c r="C190" s="3" t="str">
        <f>HYPERLINK("https://springer.com/398")</f>
        <v>https://springer.com/398</v>
      </c>
      <c r="D190" s="2" t="s">
        <v>399</v>
      </c>
      <c r="E190" s="2" t="s">
        <v>8</v>
      </c>
    </row>
    <row r="191" spans="1:5" ht="12.75" customHeight="1" x14ac:dyDescent="0.3">
      <c r="A191" s="2" t="s">
        <v>400</v>
      </c>
      <c r="B191" s="2" t="s">
        <v>78</v>
      </c>
      <c r="C191" s="3" t="str">
        <f>HYPERLINK("https://springer.com/399")</f>
        <v>https://springer.com/399</v>
      </c>
      <c r="D191" s="2" t="s">
        <v>401</v>
      </c>
      <c r="E191" s="2" t="s">
        <v>8</v>
      </c>
    </row>
    <row r="192" spans="1:5" ht="12.75" customHeight="1" x14ac:dyDescent="0.3">
      <c r="A192" s="2" t="s">
        <v>402</v>
      </c>
      <c r="B192" s="2" t="s">
        <v>78</v>
      </c>
      <c r="C192" s="3" t="str">
        <f>HYPERLINK("https://springer.com/401")</f>
        <v>https://springer.com/401</v>
      </c>
      <c r="D192" s="2" t="s">
        <v>403</v>
      </c>
      <c r="E192" s="2" t="s">
        <v>8</v>
      </c>
    </row>
    <row r="193" spans="1:5" ht="12.75" customHeight="1" x14ac:dyDescent="0.3">
      <c r="A193" s="2" t="s">
        <v>404</v>
      </c>
      <c r="B193" s="2" t="s">
        <v>78</v>
      </c>
      <c r="C193" s="3" t="str">
        <f>HYPERLINK("https://springer.com/402")</f>
        <v>https://springer.com/402</v>
      </c>
      <c r="D193" s="2" t="s">
        <v>405</v>
      </c>
      <c r="E193" s="2" t="s">
        <v>8</v>
      </c>
    </row>
    <row r="194" spans="1:5" ht="12.75" customHeight="1" x14ac:dyDescent="0.3">
      <c r="A194" s="2" t="s">
        <v>406</v>
      </c>
      <c r="B194" s="2" t="s">
        <v>78</v>
      </c>
      <c r="C194" s="3" t="str">
        <f>HYPERLINK("https://springer.com/403")</f>
        <v>https://springer.com/403</v>
      </c>
      <c r="D194" s="2" t="s">
        <v>407</v>
      </c>
      <c r="E194" s="2" t="s">
        <v>8</v>
      </c>
    </row>
    <row r="195" spans="1:5" ht="12.75" customHeight="1" x14ac:dyDescent="0.3">
      <c r="A195" s="2" t="s">
        <v>408</v>
      </c>
      <c r="B195" s="2" t="s">
        <v>78</v>
      </c>
      <c r="C195" s="3" t="str">
        <f>HYPERLINK("https://springer.com/405")</f>
        <v>https://springer.com/405</v>
      </c>
      <c r="D195" s="2" t="s">
        <v>409</v>
      </c>
      <c r="E195" s="2" t="s">
        <v>8</v>
      </c>
    </row>
    <row r="196" spans="1:5" ht="12.75" customHeight="1" x14ac:dyDescent="0.3">
      <c r="A196" s="2" t="s">
        <v>410</v>
      </c>
      <c r="B196" s="2" t="s">
        <v>78</v>
      </c>
      <c r="C196" s="3" t="str">
        <f>HYPERLINK("https://springer.com/406")</f>
        <v>https://springer.com/406</v>
      </c>
      <c r="D196" s="2" t="s">
        <v>411</v>
      </c>
      <c r="E196" s="2" t="s">
        <v>8</v>
      </c>
    </row>
    <row r="197" spans="1:5" ht="12.75" customHeight="1" x14ac:dyDescent="0.3">
      <c r="A197" s="2" t="s">
        <v>412</v>
      </c>
      <c r="B197" s="2" t="s">
        <v>10</v>
      </c>
      <c r="C197" s="3" t="str">
        <f>HYPERLINK("https://springer.com/407")</f>
        <v>https://springer.com/407</v>
      </c>
      <c r="D197" s="2" t="s">
        <v>413</v>
      </c>
      <c r="E197" s="2" t="s">
        <v>8</v>
      </c>
    </row>
    <row r="198" spans="1:5" ht="12.75" customHeight="1" x14ac:dyDescent="0.3">
      <c r="A198" s="2" t="s">
        <v>414</v>
      </c>
      <c r="B198" s="2" t="s">
        <v>78</v>
      </c>
      <c r="C198" s="3" t="str">
        <f>HYPERLINK("https://springer.com/408")</f>
        <v>https://springer.com/408</v>
      </c>
      <c r="D198" s="2" t="s">
        <v>415</v>
      </c>
      <c r="E198" s="2" t="s">
        <v>8</v>
      </c>
    </row>
    <row r="199" spans="1:5" ht="12.75" customHeight="1" x14ac:dyDescent="0.3">
      <c r="A199" s="2" t="s">
        <v>416</v>
      </c>
      <c r="B199" s="2" t="s">
        <v>26</v>
      </c>
      <c r="C199" s="3" t="str">
        <f>HYPERLINK("https://springer.com/410")</f>
        <v>https://springer.com/410</v>
      </c>
      <c r="D199" s="2" t="s">
        <v>417</v>
      </c>
      <c r="E199" s="2" t="s">
        <v>8</v>
      </c>
    </row>
    <row r="200" spans="1:5" ht="12.75" customHeight="1" x14ac:dyDescent="0.3">
      <c r="A200" s="2" t="s">
        <v>418</v>
      </c>
      <c r="B200" s="2" t="s">
        <v>13</v>
      </c>
      <c r="C200" s="3" t="str">
        <f>HYPERLINK("https://springer.com/411")</f>
        <v>https://springer.com/411</v>
      </c>
      <c r="D200" s="2" t="s">
        <v>419</v>
      </c>
      <c r="E200" s="2" t="s">
        <v>8</v>
      </c>
    </row>
    <row r="201" spans="1:5" ht="12.75" customHeight="1" x14ac:dyDescent="0.3">
      <c r="A201" s="2" t="s">
        <v>420</v>
      </c>
      <c r="B201" s="2" t="s">
        <v>6</v>
      </c>
      <c r="C201" s="3" t="str">
        <f>HYPERLINK("https://springer.com/412")</f>
        <v>https://springer.com/412</v>
      </c>
      <c r="D201" s="2" t="s">
        <v>421</v>
      </c>
      <c r="E201" s="2" t="s">
        <v>8</v>
      </c>
    </row>
    <row r="202" spans="1:5" ht="12.75" customHeight="1" x14ac:dyDescent="0.3">
      <c r="A202" s="2" t="s">
        <v>422</v>
      </c>
      <c r="B202" s="2" t="s">
        <v>78</v>
      </c>
      <c r="C202" s="3" t="str">
        <f>HYPERLINK("https://springer.com/414")</f>
        <v>https://springer.com/414</v>
      </c>
      <c r="D202" s="2" t="s">
        <v>423</v>
      </c>
      <c r="E202" s="2" t="s">
        <v>8</v>
      </c>
    </row>
    <row r="203" spans="1:5" ht="12.75" customHeight="1" x14ac:dyDescent="0.3">
      <c r="A203" s="2" t="s">
        <v>424</v>
      </c>
      <c r="B203" s="2" t="s">
        <v>78</v>
      </c>
      <c r="C203" s="3" t="str">
        <f>HYPERLINK("https://springer.com/415")</f>
        <v>https://springer.com/415</v>
      </c>
      <c r="D203" s="2" t="s">
        <v>425</v>
      </c>
      <c r="E203" s="2" t="s">
        <v>8</v>
      </c>
    </row>
    <row r="204" spans="1:5" ht="12.75" customHeight="1" x14ac:dyDescent="0.3">
      <c r="A204" s="2" t="s">
        <v>426</v>
      </c>
      <c r="B204" s="2" t="s">
        <v>78</v>
      </c>
      <c r="C204" s="3" t="str">
        <f>HYPERLINK("https://springer.com/417")</f>
        <v>https://springer.com/417</v>
      </c>
      <c r="D204" s="2" t="s">
        <v>427</v>
      </c>
      <c r="E204" s="2" t="s">
        <v>8</v>
      </c>
    </row>
    <row r="205" spans="1:5" ht="12.75" customHeight="1" x14ac:dyDescent="0.3">
      <c r="A205" s="2" t="s">
        <v>428</v>
      </c>
      <c r="B205" s="2" t="s">
        <v>20</v>
      </c>
      <c r="C205" s="3" t="str">
        <f>HYPERLINK("https://springer.com/418")</f>
        <v>https://springer.com/418</v>
      </c>
      <c r="D205" s="2" t="s">
        <v>429</v>
      </c>
      <c r="E205" s="2" t="s">
        <v>8</v>
      </c>
    </row>
    <row r="206" spans="1:5" ht="12.75" customHeight="1" x14ac:dyDescent="0.3">
      <c r="A206" s="2" t="s">
        <v>430</v>
      </c>
      <c r="B206" s="2" t="s">
        <v>56</v>
      </c>
      <c r="C206" s="3" t="str">
        <f>HYPERLINK("https://springer.com/419")</f>
        <v>https://springer.com/419</v>
      </c>
      <c r="D206" s="2" t="s">
        <v>431</v>
      </c>
      <c r="E206" s="2" t="s">
        <v>8</v>
      </c>
    </row>
    <row r="207" spans="1:5" ht="12.75" customHeight="1" x14ac:dyDescent="0.3">
      <c r="A207" s="2" t="s">
        <v>432</v>
      </c>
      <c r="B207" s="2" t="s">
        <v>133</v>
      </c>
      <c r="C207" s="3" t="str">
        <f>HYPERLINK("https://springer.com/420")</f>
        <v>https://springer.com/420</v>
      </c>
      <c r="D207" s="2" t="s">
        <v>433</v>
      </c>
      <c r="E207" s="2" t="s">
        <v>8</v>
      </c>
    </row>
    <row r="208" spans="1:5" ht="12.75" customHeight="1" x14ac:dyDescent="0.3">
      <c r="A208" s="2" t="s">
        <v>434</v>
      </c>
      <c r="B208" s="2" t="s">
        <v>20</v>
      </c>
      <c r="C208" s="3" t="str">
        <f>HYPERLINK("https://springer.com/421")</f>
        <v>https://springer.com/421</v>
      </c>
      <c r="D208" s="2" t="s">
        <v>435</v>
      </c>
      <c r="E208" s="2" t="s">
        <v>8</v>
      </c>
    </row>
    <row r="209" spans="1:5" ht="12.75" customHeight="1" x14ac:dyDescent="0.3">
      <c r="A209" s="2" t="s">
        <v>436</v>
      </c>
      <c r="B209" s="2" t="s">
        <v>20</v>
      </c>
      <c r="C209" s="3" t="str">
        <f>HYPERLINK("https://springer.com/422")</f>
        <v>https://springer.com/422</v>
      </c>
      <c r="D209" s="2" t="s">
        <v>437</v>
      </c>
      <c r="E209" s="2" t="s">
        <v>8</v>
      </c>
    </row>
    <row r="210" spans="1:5" ht="12.75" customHeight="1" x14ac:dyDescent="0.3">
      <c r="A210" s="2" t="s">
        <v>438</v>
      </c>
      <c r="B210" s="2" t="s">
        <v>20</v>
      </c>
      <c r="C210" s="3" t="str">
        <f>HYPERLINK("https://springer.com/424")</f>
        <v>https://springer.com/424</v>
      </c>
      <c r="D210" s="2" t="s">
        <v>439</v>
      </c>
      <c r="E210" s="2" t="s">
        <v>8</v>
      </c>
    </row>
    <row r="211" spans="1:5" ht="12.75" customHeight="1" x14ac:dyDescent="0.3">
      <c r="A211" s="2" t="s">
        <v>440</v>
      </c>
      <c r="B211" s="2" t="s">
        <v>6</v>
      </c>
      <c r="C211" s="3" t="str">
        <f>HYPERLINK("https://springer.com/425")</f>
        <v>https://springer.com/425</v>
      </c>
      <c r="D211" s="2" t="s">
        <v>441</v>
      </c>
      <c r="E211" s="2" t="s">
        <v>8</v>
      </c>
    </row>
    <row r="212" spans="1:5" ht="12.75" customHeight="1" x14ac:dyDescent="0.3">
      <c r="A212" s="2" t="s">
        <v>442</v>
      </c>
      <c r="B212" s="2" t="s">
        <v>443</v>
      </c>
      <c r="C212" s="3" t="str">
        <f>HYPERLINK("https://springer.com/426")</f>
        <v>https://springer.com/426</v>
      </c>
      <c r="D212" s="2" t="s">
        <v>444</v>
      </c>
      <c r="E212" s="2" t="s">
        <v>8</v>
      </c>
    </row>
    <row r="213" spans="1:5" ht="12.75" customHeight="1" x14ac:dyDescent="0.3">
      <c r="A213" s="2" t="s">
        <v>445</v>
      </c>
      <c r="B213" s="2" t="s">
        <v>78</v>
      </c>
      <c r="C213" s="3" t="str">
        <f>HYPERLINK("https://springer.com/428")</f>
        <v>https://springer.com/428</v>
      </c>
      <c r="D213" s="2" t="s">
        <v>446</v>
      </c>
      <c r="E213" s="2" t="s">
        <v>8</v>
      </c>
    </row>
    <row r="214" spans="1:5" ht="12.75" customHeight="1" x14ac:dyDescent="0.3">
      <c r="A214" s="2" t="s">
        <v>447</v>
      </c>
      <c r="B214" s="2" t="s">
        <v>20</v>
      </c>
      <c r="C214" s="3" t="str">
        <f>HYPERLINK("https://springer.com/429")</f>
        <v>https://springer.com/429</v>
      </c>
      <c r="D214" s="2" t="s">
        <v>448</v>
      </c>
      <c r="E214" s="2" t="s">
        <v>8</v>
      </c>
    </row>
    <row r="215" spans="1:5" ht="12.75" customHeight="1" x14ac:dyDescent="0.3">
      <c r="A215" s="2" t="s">
        <v>449</v>
      </c>
      <c r="B215" s="2" t="s">
        <v>20</v>
      </c>
      <c r="C215" s="3" t="str">
        <f>HYPERLINK("https://springer.com/430")</f>
        <v>https://springer.com/430</v>
      </c>
      <c r="D215" s="2" t="s">
        <v>450</v>
      </c>
      <c r="E215" s="2" t="s">
        <v>8</v>
      </c>
    </row>
    <row r="216" spans="1:5" ht="12.75" customHeight="1" x14ac:dyDescent="0.3">
      <c r="A216" s="2" t="s">
        <v>451</v>
      </c>
      <c r="B216" s="2" t="s">
        <v>78</v>
      </c>
      <c r="C216" s="3" t="str">
        <f>HYPERLINK("https://springer.com/431")</f>
        <v>https://springer.com/431</v>
      </c>
      <c r="D216" s="2" t="s">
        <v>452</v>
      </c>
      <c r="E216" s="2" t="s">
        <v>8</v>
      </c>
    </row>
    <row r="217" spans="1:5" ht="12.75" customHeight="1" x14ac:dyDescent="0.3">
      <c r="A217" s="2" t="s">
        <v>453</v>
      </c>
      <c r="B217" s="2" t="s">
        <v>6</v>
      </c>
      <c r="C217" s="3" t="str">
        <f>HYPERLINK("https://springer.com/435")</f>
        <v>https://springer.com/435</v>
      </c>
      <c r="D217" s="2" t="s">
        <v>454</v>
      </c>
      <c r="E217" s="2" t="s">
        <v>8</v>
      </c>
    </row>
    <row r="218" spans="1:5" ht="12.75" customHeight="1" x14ac:dyDescent="0.3">
      <c r="A218" s="2" t="s">
        <v>455</v>
      </c>
      <c r="B218" s="2" t="s">
        <v>6</v>
      </c>
      <c r="C218" s="3" t="str">
        <f>HYPERLINK("https://springer.com/438")</f>
        <v>https://springer.com/438</v>
      </c>
      <c r="D218" s="2" t="s">
        <v>456</v>
      </c>
      <c r="E218" s="2" t="s">
        <v>8</v>
      </c>
    </row>
    <row r="219" spans="1:5" ht="12.75" customHeight="1" x14ac:dyDescent="0.3">
      <c r="A219" s="2" t="s">
        <v>457</v>
      </c>
      <c r="B219" s="2" t="s">
        <v>20</v>
      </c>
      <c r="C219" s="3" t="str">
        <f>HYPERLINK("https://springer.com/439")</f>
        <v>https://springer.com/439</v>
      </c>
      <c r="D219" s="2" t="s">
        <v>458</v>
      </c>
      <c r="E219" s="2" t="s">
        <v>8</v>
      </c>
    </row>
    <row r="220" spans="1:5" ht="12.75" customHeight="1" x14ac:dyDescent="0.3">
      <c r="A220" s="2" t="s">
        <v>459</v>
      </c>
      <c r="B220" s="2" t="s">
        <v>10</v>
      </c>
      <c r="C220" s="3" t="str">
        <f>HYPERLINK("https://springer.com/440")</f>
        <v>https://springer.com/440</v>
      </c>
      <c r="D220" s="2" t="s">
        <v>460</v>
      </c>
      <c r="E220" s="2" t="s">
        <v>8</v>
      </c>
    </row>
    <row r="221" spans="1:5" ht="12.75" customHeight="1" x14ac:dyDescent="0.3">
      <c r="A221" s="2" t="s">
        <v>461</v>
      </c>
      <c r="B221" s="2" t="s">
        <v>20</v>
      </c>
      <c r="C221" s="3" t="str">
        <f>HYPERLINK("https://springer.com/441")</f>
        <v>https://springer.com/441</v>
      </c>
      <c r="D221" s="2" t="s">
        <v>462</v>
      </c>
      <c r="E221" s="2" t="s">
        <v>8</v>
      </c>
    </row>
    <row r="222" spans="1:5" ht="12.75" customHeight="1" x14ac:dyDescent="0.3">
      <c r="A222" s="2" t="s">
        <v>463</v>
      </c>
      <c r="B222" s="2" t="s">
        <v>6</v>
      </c>
      <c r="C222" s="3" t="str">
        <f>HYPERLINK("https://springer.com/442")</f>
        <v>https://springer.com/442</v>
      </c>
      <c r="D222" s="2" t="s">
        <v>464</v>
      </c>
      <c r="E222" s="2" t="s">
        <v>8</v>
      </c>
    </row>
    <row r="223" spans="1:5" ht="12.75" customHeight="1" x14ac:dyDescent="0.3">
      <c r="A223" s="2" t="s">
        <v>465</v>
      </c>
      <c r="B223" s="2" t="s">
        <v>26</v>
      </c>
      <c r="C223" s="3" t="str">
        <f>HYPERLINK("https://springer.com/445")</f>
        <v>https://springer.com/445</v>
      </c>
      <c r="D223" s="2" t="s">
        <v>466</v>
      </c>
      <c r="E223" s="2" t="s">
        <v>8</v>
      </c>
    </row>
    <row r="224" spans="1:5" ht="12.75" customHeight="1" x14ac:dyDescent="0.3">
      <c r="A224" s="2" t="s">
        <v>467</v>
      </c>
      <c r="B224" s="2" t="s">
        <v>63</v>
      </c>
      <c r="C224" s="3" t="str">
        <f>HYPERLINK("https://springer.com/446")</f>
        <v>https://springer.com/446</v>
      </c>
      <c r="D224" s="2" t="s">
        <v>468</v>
      </c>
      <c r="E224" s="2" t="s">
        <v>8</v>
      </c>
    </row>
    <row r="225" spans="1:5" ht="12.75" customHeight="1" x14ac:dyDescent="0.3">
      <c r="A225" s="2" t="s">
        <v>469</v>
      </c>
      <c r="B225" s="2" t="s">
        <v>218</v>
      </c>
      <c r="C225" s="3" t="str">
        <f>HYPERLINK("https://springer.com/449")</f>
        <v>https://springer.com/449</v>
      </c>
      <c r="D225" s="2" t="s">
        <v>470</v>
      </c>
      <c r="E225" s="2" t="s">
        <v>8</v>
      </c>
    </row>
    <row r="226" spans="1:5" ht="12.75" customHeight="1" x14ac:dyDescent="0.3">
      <c r="A226" s="2" t="s">
        <v>471</v>
      </c>
      <c r="B226" s="2" t="s">
        <v>78</v>
      </c>
      <c r="C226" s="3" t="str">
        <f>HYPERLINK("https://springer.com/451")</f>
        <v>https://springer.com/451</v>
      </c>
      <c r="D226" s="2" t="s">
        <v>472</v>
      </c>
      <c r="E226" s="2" t="s">
        <v>8</v>
      </c>
    </row>
    <row r="227" spans="1:5" ht="12.75" customHeight="1" x14ac:dyDescent="0.3">
      <c r="A227" s="2" t="s">
        <v>473</v>
      </c>
      <c r="B227" s="2" t="s">
        <v>63</v>
      </c>
      <c r="C227" s="3" t="str">
        <f>HYPERLINK("https://springer.com/453")</f>
        <v>https://springer.com/453</v>
      </c>
      <c r="D227" s="2" t="s">
        <v>474</v>
      </c>
      <c r="E227" s="2" t="s">
        <v>8</v>
      </c>
    </row>
    <row r="228" spans="1:5" ht="12.75" customHeight="1" x14ac:dyDescent="0.3">
      <c r="A228" s="2" t="s">
        <v>475</v>
      </c>
      <c r="B228" s="2" t="s">
        <v>10</v>
      </c>
      <c r="C228" s="3" t="str">
        <f>HYPERLINK("https://springer.com/454")</f>
        <v>https://springer.com/454</v>
      </c>
      <c r="D228" s="2" t="s">
        <v>476</v>
      </c>
      <c r="E228" s="2" t="s">
        <v>8</v>
      </c>
    </row>
    <row r="229" spans="1:5" ht="12.75" customHeight="1" x14ac:dyDescent="0.3">
      <c r="A229" s="2" t="s">
        <v>477</v>
      </c>
      <c r="B229" s="2" t="s">
        <v>78</v>
      </c>
      <c r="C229" s="3" t="str">
        <f>HYPERLINK("https://springer.com/455")</f>
        <v>https://springer.com/455</v>
      </c>
      <c r="D229" s="2" t="s">
        <v>478</v>
      </c>
      <c r="E229" s="2" t="s">
        <v>8</v>
      </c>
    </row>
    <row r="230" spans="1:5" ht="12.75" customHeight="1" x14ac:dyDescent="0.3">
      <c r="A230" s="2" t="s">
        <v>479</v>
      </c>
      <c r="B230" s="2" t="s">
        <v>78</v>
      </c>
      <c r="C230" s="3" t="str">
        <f>HYPERLINK("https://springer.com/464")</f>
        <v>https://springer.com/464</v>
      </c>
      <c r="D230" s="2" t="s">
        <v>480</v>
      </c>
      <c r="E230" s="2" t="s">
        <v>8</v>
      </c>
    </row>
    <row r="231" spans="1:5" ht="12.75" customHeight="1" x14ac:dyDescent="0.3">
      <c r="A231" s="2" t="s">
        <v>481</v>
      </c>
      <c r="B231" s="2" t="s">
        <v>56</v>
      </c>
      <c r="C231" s="3" t="str">
        <f>HYPERLINK("https://springer.com/466")</f>
        <v>https://springer.com/466</v>
      </c>
      <c r="D231" s="2" t="s">
        <v>482</v>
      </c>
      <c r="E231" s="2" t="s">
        <v>8</v>
      </c>
    </row>
    <row r="232" spans="1:5" ht="12.75" customHeight="1" x14ac:dyDescent="0.3">
      <c r="A232" s="2" t="s">
        <v>483</v>
      </c>
      <c r="B232" s="2" t="s">
        <v>78</v>
      </c>
      <c r="C232" s="3" t="str">
        <f>HYPERLINK("https://springer.com/467")</f>
        <v>https://springer.com/467</v>
      </c>
      <c r="D232" s="2" t="s">
        <v>484</v>
      </c>
      <c r="E232" s="2" t="s">
        <v>8</v>
      </c>
    </row>
    <row r="233" spans="1:5" ht="12.75" customHeight="1" x14ac:dyDescent="0.3">
      <c r="A233" s="2" t="s">
        <v>485</v>
      </c>
      <c r="B233" s="2" t="s">
        <v>6</v>
      </c>
      <c r="C233" s="3" t="str">
        <f>HYPERLINK("https://springer.com/468")</f>
        <v>https://springer.com/468</v>
      </c>
      <c r="D233" s="2" t="s">
        <v>486</v>
      </c>
      <c r="E233" s="2" t="s">
        <v>8</v>
      </c>
    </row>
    <row r="234" spans="1:5" ht="12.75" customHeight="1" x14ac:dyDescent="0.3">
      <c r="A234" s="2" t="s">
        <v>487</v>
      </c>
      <c r="B234" s="2" t="s">
        <v>133</v>
      </c>
      <c r="C234" s="3" t="str">
        <f>HYPERLINK("https://springer.com/477")</f>
        <v>https://springer.com/477</v>
      </c>
      <c r="D234" s="2" t="s">
        <v>488</v>
      </c>
      <c r="E234" s="2" t="s">
        <v>8</v>
      </c>
    </row>
    <row r="235" spans="1:5" ht="12.75" customHeight="1" x14ac:dyDescent="0.3">
      <c r="A235" s="2" t="s">
        <v>489</v>
      </c>
      <c r="B235" s="2" t="s">
        <v>78</v>
      </c>
      <c r="C235" s="3" t="str">
        <f>HYPERLINK("https://springer.com/481")</f>
        <v>https://springer.com/481</v>
      </c>
      <c r="D235" s="2" t="s">
        <v>490</v>
      </c>
      <c r="E235" s="2" t="s">
        <v>8</v>
      </c>
    </row>
    <row r="236" spans="1:5" ht="12.75" customHeight="1" x14ac:dyDescent="0.3">
      <c r="A236" s="2" t="s">
        <v>491</v>
      </c>
      <c r="B236" s="2" t="s">
        <v>78</v>
      </c>
      <c r="C236" s="3" t="str">
        <f>HYPERLINK("https://springer.com/482")</f>
        <v>https://springer.com/482</v>
      </c>
      <c r="D236" s="2" t="s">
        <v>492</v>
      </c>
      <c r="E236" s="2" t="s">
        <v>8</v>
      </c>
    </row>
    <row r="237" spans="1:5" ht="12.75" customHeight="1" x14ac:dyDescent="0.3">
      <c r="A237" s="2" t="s">
        <v>493</v>
      </c>
      <c r="B237" s="2" t="s">
        <v>133</v>
      </c>
      <c r="C237" s="3" t="str">
        <f>HYPERLINK("https://springer.com/484")</f>
        <v>https://springer.com/484</v>
      </c>
      <c r="D237" s="2" t="s">
        <v>494</v>
      </c>
      <c r="E237" s="2" t="s">
        <v>8</v>
      </c>
    </row>
    <row r="238" spans="1:5" ht="12.75" customHeight="1" x14ac:dyDescent="0.3">
      <c r="A238" s="2" t="s">
        <v>495</v>
      </c>
      <c r="B238" s="2" t="s">
        <v>10</v>
      </c>
      <c r="C238" s="3" t="str">
        <f>HYPERLINK("https://springer.com/493")</f>
        <v>https://springer.com/493</v>
      </c>
      <c r="D238" s="2" t="s">
        <v>496</v>
      </c>
      <c r="E238" s="2" t="s">
        <v>8</v>
      </c>
    </row>
    <row r="239" spans="1:5" ht="12.75" customHeight="1" x14ac:dyDescent="0.3">
      <c r="A239" s="2" t="s">
        <v>497</v>
      </c>
      <c r="B239" s="2" t="s">
        <v>6</v>
      </c>
      <c r="C239" s="3" t="str">
        <f>HYPERLINK("https://springer.com/497")</f>
        <v>https://springer.com/497</v>
      </c>
      <c r="D239" s="2" t="s">
        <v>498</v>
      </c>
      <c r="E239" s="2" t="s">
        <v>8</v>
      </c>
    </row>
    <row r="240" spans="1:5" ht="12.75" customHeight="1" x14ac:dyDescent="0.3">
      <c r="A240" s="2" t="s">
        <v>499</v>
      </c>
      <c r="B240" s="2" t="s">
        <v>10</v>
      </c>
      <c r="C240" s="3" t="str">
        <f>HYPERLINK("https://springer.com/498")</f>
        <v>https://springer.com/498</v>
      </c>
      <c r="D240" s="2" t="s">
        <v>500</v>
      </c>
      <c r="E240" s="2" t="s">
        <v>8</v>
      </c>
    </row>
    <row r="241" spans="1:5" ht="12.75" customHeight="1" x14ac:dyDescent="0.3">
      <c r="A241" s="2" t="s">
        <v>501</v>
      </c>
      <c r="B241" s="2" t="s">
        <v>56</v>
      </c>
      <c r="C241" s="3" t="str">
        <f>HYPERLINK("https://springer.com/500")</f>
        <v>https://springer.com/500</v>
      </c>
      <c r="D241" s="2" t="s">
        <v>502</v>
      </c>
      <c r="E241" s="2" t="s">
        <v>8</v>
      </c>
    </row>
    <row r="242" spans="1:5" ht="12.75" customHeight="1" x14ac:dyDescent="0.3">
      <c r="A242" s="2" t="s">
        <v>503</v>
      </c>
      <c r="B242" s="2" t="s">
        <v>26</v>
      </c>
      <c r="C242" s="3" t="str">
        <f>HYPERLINK("https://springer.com/501")</f>
        <v>https://springer.com/501</v>
      </c>
      <c r="D242" s="2" t="s">
        <v>504</v>
      </c>
      <c r="E242" s="2" t="s">
        <v>8</v>
      </c>
    </row>
    <row r="243" spans="1:5" ht="12.75" customHeight="1" x14ac:dyDescent="0.3">
      <c r="A243" s="2" t="s">
        <v>505</v>
      </c>
      <c r="B243" s="2" t="s">
        <v>56</v>
      </c>
      <c r="C243" s="3" t="str">
        <f>HYPERLINK("https://springer.com/502")</f>
        <v>https://springer.com/502</v>
      </c>
      <c r="D243" s="2" t="s">
        <v>506</v>
      </c>
      <c r="E243" s="2" t="s">
        <v>8</v>
      </c>
    </row>
    <row r="244" spans="1:5" ht="12.75" customHeight="1" x14ac:dyDescent="0.3">
      <c r="A244" s="2" t="s">
        <v>507</v>
      </c>
      <c r="B244" s="2" t="s">
        <v>56</v>
      </c>
      <c r="C244" s="3" t="str">
        <f>HYPERLINK("https://springer.com/506")</f>
        <v>https://springer.com/506</v>
      </c>
      <c r="D244" s="2" t="s">
        <v>508</v>
      </c>
      <c r="E244" s="2" t="s">
        <v>8</v>
      </c>
    </row>
    <row r="245" spans="1:5" ht="12.75" customHeight="1" x14ac:dyDescent="0.3">
      <c r="A245" s="2" t="s">
        <v>509</v>
      </c>
      <c r="B245" s="2" t="s">
        <v>78</v>
      </c>
      <c r="C245" s="3" t="str">
        <f>HYPERLINK("https://springer.com/508")</f>
        <v>https://springer.com/508</v>
      </c>
      <c r="D245" s="2" t="s">
        <v>510</v>
      </c>
      <c r="E245" s="2" t="s">
        <v>8</v>
      </c>
    </row>
    <row r="246" spans="1:5" ht="12.75" customHeight="1" x14ac:dyDescent="0.3">
      <c r="A246" s="2" t="s">
        <v>511</v>
      </c>
      <c r="B246" s="2" t="s">
        <v>78</v>
      </c>
      <c r="C246" s="3" t="str">
        <f>HYPERLINK("https://springer.com/520")</f>
        <v>https://springer.com/520</v>
      </c>
      <c r="D246" s="2" t="s">
        <v>512</v>
      </c>
      <c r="E246" s="2" t="s">
        <v>8</v>
      </c>
    </row>
    <row r="247" spans="1:5" ht="12.75" customHeight="1" x14ac:dyDescent="0.3">
      <c r="A247" s="2" t="s">
        <v>513</v>
      </c>
      <c r="B247" s="2" t="s">
        <v>63</v>
      </c>
      <c r="C247" s="3" t="str">
        <f>HYPERLINK("https://springer.com/521")</f>
        <v>https://springer.com/521</v>
      </c>
      <c r="D247" s="2" t="s">
        <v>514</v>
      </c>
      <c r="E247" s="2" t="s">
        <v>8</v>
      </c>
    </row>
    <row r="248" spans="1:5" ht="12.75" customHeight="1" x14ac:dyDescent="0.3">
      <c r="A248" s="2" t="s">
        <v>515</v>
      </c>
      <c r="B248" s="2" t="s">
        <v>10</v>
      </c>
      <c r="C248" s="3" t="str">
        <f>HYPERLINK("https://springer.com/526")</f>
        <v>https://springer.com/526</v>
      </c>
      <c r="D248" s="2" t="s">
        <v>516</v>
      </c>
      <c r="E248" s="2" t="s">
        <v>8</v>
      </c>
    </row>
    <row r="249" spans="1:5" ht="12.75" customHeight="1" x14ac:dyDescent="0.3">
      <c r="A249" s="2" t="s">
        <v>517</v>
      </c>
      <c r="B249" s="2" t="s">
        <v>63</v>
      </c>
      <c r="C249" s="3" t="str">
        <f>HYPERLINK("https://springer.com/530")</f>
        <v>https://springer.com/530</v>
      </c>
      <c r="D249" s="2" t="s">
        <v>518</v>
      </c>
      <c r="E249" s="2" t="s">
        <v>8</v>
      </c>
    </row>
    <row r="250" spans="1:5" ht="12.75" customHeight="1" x14ac:dyDescent="0.3">
      <c r="A250" s="2" t="s">
        <v>519</v>
      </c>
      <c r="B250" s="2" t="s">
        <v>26</v>
      </c>
      <c r="C250" s="3" t="str">
        <f>HYPERLINK("https://springer.com/531")</f>
        <v>https://springer.com/531</v>
      </c>
      <c r="D250" s="2" t="s">
        <v>520</v>
      </c>
      <c r="E250" s="2" t="s">
        <v>8</v>
      </c>
    </row>
    <row r="251" spans="1:5" ht="12.75" customHeight="1" x14ac:dyDescent="0.3">
      <c r="A251" s="2" t="s">
        <v>521</v>
      </c>
      <c r="B251" s="2" t="s">
        <v>78</v>
      </c>
      <c r="C251" s="3" t="str">
        <f>HYPERLINK("https://springer.com/535")</f>
        <v>https://springer.com/535</v>
      </c>
      <c r="D251" s="2" t="s">
        <v>522</v>
      </c>
      <c r="E251" s="2" t="s">
        <v>8</v>
      </c>
    </row>
    <row r="252" spans="1:5" ht="12.75" customHeight="1" x14ac:dyDescent="0.3">
      <c r="A252" s="2" t="s">
        <v>523</v>
      </c>
      <c r="B252" s="2" t="s">
        <v>78</v>
      </c>
      <c r="C252" s="3" t="str">
        <f>HYPERLINK("https://springer.com/540")</f>
        <v>https://springer.com/540</v>
      </c>
      <c r="D252" s="2" t="s">
        <v>524</v>
      </c>
      <c r="E252" s="2" t="s">
        <v>8</v>
      </c>
    </row>
    <row r="253" spans="1:5" ht="12.75" customHeight="1" x14ac:dyDescent="0.3">
      <c r="A253" s="2" t="s">
        <v>525</v>
      </c>
      <c r="B253" s="2" t="s">
        <v>56</v>
      </c>
      <c r="C253" s="3" t="str">
        <f>HYPERLINK("https://springer.com/542")</f>
        <v>https://springer.com/542</v>
      </c>
      <c r="D253" s="2" t="s">
        <v>526</v>
      </c>
      <c r="E253" s="2" t="s">
        <v>8</v>
      </c>
    </row>
    <row r="254" spans="1:5" ht="12.75" customHeight="1" x14ac:dyDescent="0.3">
      <c r="A254" s="2" t="s">
        <v>527</v>
      </c>
      <c r="B254" s="2" t="s">
        <v>528</v>
      </c>
      <c r="C254" s="3" t="str">
        <f>HYPERLINK("https://springer.com/548")</f>
        <v>https://springer.com/548</v>
      </c>
      <c r="D254" s="2" t="s">
        <v>529</v>
      </c>
      <c r="E254" s="2" t="s">
        <v>8</v>
      </c>
    </row>
    <row r="255" spans="1:5" ht="12.75" customHeight="1" x14ac:dyDescent="0.3">
      <c r="A255" s="2" t="s">
        <v>530</v>
      </c>
      <c r="B255" s="2" t="s">
        <v>151</v>
      </c>
      <c r="C255" s="3" t="str">
        <f>HYPERLINK("https://springer.com/550")</f>
        <v>https://springer.com/550</v>
      </c>
      <c r="D255" s="2" t="s">
        <v>531</v>
      </c>
      <c r="E255" s="2" t="s">
        <v>8</v>
      </c>
    </row>
    <row r="256" spans="1:5" ht="12.75" customHeight="1" x14ac:dyDescent="0.3">
      <c r="A256" s="2" t="s">
        <v>532</v>
      </c>
      <c r="B256" s="2" t="s">
        <v>6</v>
      </c>
      <c r="C256" s="3" t="str">
        <f>HYPERLINK("https://springer.com/572")</f>
        <v>https://springer.com/572</v>
      </c>
      <c r="D256" s="2" t="s">
        <v>533</v>
      </c>
      <c r="E256" s="2" t="s">
        <v>8</v>
      </c>
    </row>
    <row r="257" spans="1:5" ht="12.75" customHeight="1" x14ac:dyDescent="0.3">
      <c r="A257" s="2" t="s">
        <v>534</v>
      </c>
      <c r="B257" s="2" t="s">
        <v>10</v>
      </c>
      <c r="C257" s="3" t="str">
        <f>HYPERLINK("https://springer.com/574")</f>
        <v>https://springer.com/574</v>
      </c>
      <c r="D257" s="2" t="s">
        <v>535</v>
      </c>
      <c r="E257" s="2" t="s">
        <v>8</v>
      </c>
    </row>
    <row r="258" spans="1:5" ht="12.75" customHeight="1" x14ac:dyDescent="0.3">
      <c r="A258" s="2" t="s">
        <v>536</v>
      </c>
      <c r="B258" s="2" t="s">
        <v>78</v>
      </c>
      <c r="C258" s="3" t="str">
        <f>HYPERLINK("https://springer.com/580")</f>
        <v>https://springer.com/580</v>
      </c>
      <c r="D258" s="2" t="s">
        <v>537</v>
      </c>
      <c r="E258" s="2" t="s">
        <v>8</v>
      </c>
    </row>
    <row r="259" spans="1:5" ht="12.75" customHeight="1" x14ac:dyDescent="0.3">
      <c r="A259" s="2" t="s">
        <v>538</v>
      </c>
      <c r="B259" s="2" t="s">
        <v>78</v>
      </c>
      <c r="C259" s="3" t="str">
        <f>HYPERLINK("https://springer.com/586")</f>
        <v>https://springer.com/586</v>
      </c>
      <c r="D259" s="2" t="s">
        <v>539</v>
      </c>
      <c r="E259" s="2" t="s">
        <v>8</v>
      </c>
    </row>
    <row r="260" spans="1:5" ht="12.75" customHeight="1" x14ac:dyDescent="0.3">
      <c r="A260" s="2" t="s">
        <v>540</v>
      </c>
      <c r="B260" s="2" t="s">
        <v>78</v>
      </c>
      <c r="C260" s="3" t="str">
        <f>HYPERLINK("https://springer.com/590")</f>
        <v>https://springer.com/590</v>
      </c>
      <c r="D260" s="2" t="s">
        <v>541</v>
      </c>
      <c r="E260" s="2" t="s">
        <v>8</v>
      </c>
    </row>
    <row r="261" spans="1:5" ht="12.75" customHeight="1" x14ac:dyDescent="0.3">
      <c r="A261" s="2" t="s">
        <v>542</v>
      </c>
      <c r="B261" s="2" t="s">
        <v>10</v>
      </c>
      <c r="C261" s="3" t="str">
        <f>HYPERLINK("https://springer.com/591")</f>
        <v>https://springer.com/591</v>
      </c>
      <c r="D261" s="2" t="s">
        <v>543</v>
      </c>
      <c r="E261" s="2" t="s">
        <v>8</v>
      </c>
    </row>
    <row r="262" spans="1:5" ht="12.75" customHeight="1" x14ac:dyDescent="0.3">
      <c r="A262" s="2" t="s">
        <v>544</v>
      </c>
      <c r="B262" s="2" t="s">
        <v>78</v>
      </c>
      <c r="C262" s="3" t="str">
        <f>HYPERLINK("https://springer.com/592")</f>
        <v>https://springer.com/592</v>
      </c>
      <c r="D262" s="2" t="s">
        <v>545</v>
      </c>
      <c r="E262" s="2" t="s">
        <v>8</v>
      </c>
    </row>
    <row r="263" spans="1:5" ht="12.75" customHeight="1" x14ac:dyDescent="0.3">
      <c r="A263" s="2" t="s">
        <v>546</v>
      </c>
      <c r="B263" s="2" t="s">
        <v>78</v>
      </c>
      <c r="C263" s="3" t="str">
        <f>HYPERLINK("https://springer.com/595")</f>
        <v>https://springer.com/595</v>
      </c>
      <c r="D263" s="2" t="s">
        <v>547</v>
      </c>
      <c r="E263" s="2" t="s">
        <v>8</v>
      </c>
    </row>
    <row r="264" spans="1:5" ht="12.75" customHeight="1" x14ac:dyDescent="0.3">
      <c r="A264" s="2" t="s">
        <v>548</v>
      </c>
      <c r="B264" s="2" t="s">
        <v>13</v>
      </c>
      <c r="C264" s="3" t="str">
        <f>HYPERLINK("https://springer.com/601")</f>
        <v>https://springer.com/601</v>
      </c>
      <c r="D264" s="2" t="s">
        <v>549</v>
      </c>
      <c r="E264" s="2" t="s">
        <v>8</v>
      </c>
    </row>
    <row r="265" spans="1:5" ht="12.75" customHeight="1" x14ac:dyDescent="0.3">
      <c r="A265" s="2" t="s">
        <v>550</v>
      </c>
      <c r="B265" s="2" t="s">
        <v>26</v>
      </c>
      <c r="C265" s="3" t="str">
        <f>HYPERLINK("https://springer.com/603")</f>
        <v>https://springer.com/603</v>
      </c>
      <c r="D265" s="2" t="s">
        <v>551</v>
      </c>
      <c r="E265" s="2" t="s">
        <v>8</v>
      </c>
    </row>
    <row r="266" spans="1:5" ht="12.75" customHeight="1" x14ac:dyDescent="0.3">
      <c r="A266" s="2" t="s">
        <v>552</v>
      </c>
      <c r="B266" s="2" t="s">
        <v>218</v>
      </c>
      <c r="C266" s="3" t="str">
        <f>HYPERLINK("https://springer.com/604")</f>
        <v>https://springer.com/604</v>
      </c>
      <c r="D266" s="2" t="s">
        <v>553</v>
      </c>
      <c r="E266" s="2" t="s">
        <v>8</v>
      </c>
    </row>
    <row r="267" spans="1:5" ht="12.75" customHeight="1" x14ac:dyDescent="0.3">
      <c r="A267" s="2" t="s">
        <v>554</v>
      </c>
      <c r="B267" s="2" t="s">
        <v>10</v>
      </c>
      <c r="C267" s="3" t="str">
        <f>HYPERLINK("https://springer.com/605")</f>
        <v>https://springer.com/605</v>
      </c>
      <c r="D267" s="2" t="s">
        <v>555</v>
      </c>
      <c r="E267" s="2" t="s">
        <v>8</v>
      </c>
    </row>
    <row r="268" spans="1:5" ht="12.75" customHeight="1" x14ac:dyDescent="0.3">
      <c r="A268" s="2" t="s">
        <v>556</v>
      </c>
      <c r="B268" s="2" t="s">
        <v>6</v>
      </c>
      <c r="C268" s="3" t="str">
        <f>HYPERLINK("https://springer.com/606")</f>
        <v>https://springer.com/606</v>
      </c>
      <c r="D268" s="2" t="s">
        <v>557</v>
      </c>
      <c r="E268" s="2" t="s">
        <v>8</v>
      </c>
    </row>
    <row r="269" spans="1:5" ht="12.75" customHeight="1" x14ac:dyDescent="0.3">
      <c r="A269" s="2" t="s">
        <v>558</v>
      </c>
      <c r="B269" s="2" t="s">
        <v>63</v>
      </c>
      <c r="C269" s="3" t="str">
        <f>HYPERLINK("https://springer.com/607")</f>
        <v>https://springer.com/607</v>
      </c>
      <c r="D269" s="2" t="s">
        <v>559</v>
      </c>
      <c r="E269" s="2" t="s">
        <v>8</v>
      </c>
    </row>
    <row r="270" spans="1:5" ht="12.75" customHeight="1" x14ac:dyDescent="0.3">
      <c r="A270" s="2" t="s">
        <v>560</v>
      </c>
      <c r="B270" s="2" t="s">
        <v>78</v>
      </c>
      <c r="C270" s="3" t="str">
        <f>HYPERLINK("https://springer.com/608")</f>
        <v>https://springer.com/608</v>
      </c>
      <c r="D270" s="2" t="s">
        <v>561</v>
      </c>
      <c r="E270" s="2" t="s">
        <v>8</v>
      </c>
    </row>
    <row r="271" spans="1:5" ht="12.75" customHeight="1" x14ac:dyDescent="0.3">
      <c r="A271" s="2" t="s">
        <v>562</v>
      </c>
      <c r="B271" s="2" t="s">
        <v>78</v>
      </c>
      <c r="C271" s="3" t="str">
        <f>HYPERLINK("https://springer.com/702")</f>
        <v>https://springer.com/702</v>
      </c>
      <c r="D271" s="2" t="s">
        <v>563</v>
      </c>
      <c r="E271" s="2" t="s">
        <v>8</v>
      </c>
    </row>
    <row r="272" spans="1:5" ht="12.75" customHeight="1" x14ac:dyDescent="0.3">
      <c r="A272" s="2" t="s">
        <v>564</v>
      </c>
      <c r="B272" s="2" t="s">
        <v>26</v>
      </c>
      <c r="C272" s="3" t="str">
        <f>HYPERLINK("https://springer.com/703")</f>
        <v>https://springer.com/703</v>
      </c>
      <c r="D272" s="2" t="s">
        <v>565</v>
      </c>
      <c r="E272" s="2" t="s">
        <v>8</v>
      </c>
    </row>
    <row r="273" spans="1:5" ht="12.75" customHeight="1" x14ac:dyDescent="0.3">
      <c r="A273" s="2" t="s">
        <v>566</v>
      </c>
      <c r="B273" s="2" t="s">
        <v>26</v>
      </c>
      <c r="C273" s="3" t="str">
        <f>HYPERLINK("https://springer.com/704")</f>
        <v>https://springer.com/704</v>
      </c>
      <c r="D273" s="2" t="s">
        <v>567</v>
      </c>
      <c r="E273" s="2" t="s">
        <v>8</v>
      </c>
    </row>
    <row r="274" spans="1:5" ht="12.75" customHeight="1" x14ac:dyDescent="0.3">
      <c r="A274" s="2" t="s">
        <v>568</v>
      </c>
      <c r="B274" s="2" t="s">
        <v>20</v>
      </c>
      <c r="C274" s="3" t="str">
        <f>HYPERLINK("https://springer.com/705")</f>
        <v>https://springer.com/705</v>
      </c>
      <c r="D274" s="2" t="s">
        <v>569</v>
      </c>
      <c r="E274" s="2" t="s">
        <v>8</v>
      </c>
    </row>
    <row r="275" spans="1:5" ht="12.75" customHeight="1" x14ac:dyDescent="0.3">
      <c r="A275" s="2" t="s">
        <v>570</v>
      </c>
      <c r="B275" s="2" t="s">
        <v>218</v>
      </c>
      <c r="C275" s="3" t="str">
        <f>HYPERLINK("https://springer.com/706")</f>
        <v>https://springer.com/706</v>
      </c>
      <c r="D275" s="2" t="s">
        <v>571</v>
      </c>
      <c r="E275" s="2" t="s">
        <v>8</v>
      </c>
    </row>
    <row r="276" spans="1:5" ht="12.75" customHeight="1" x14ac:dyDescent="0.3">
      <c r="A276" s="2" t="s">
        <v>572</v>
      </c>
      <c r="B276" s="2" t="s">
        <v>56</v>
      </c>
      <c r="C276" s="3" t="str">
        <f>HYPERLINK("https://springer.com/707")</f>
        <v>https://springer.com/707</v>
      </c>
      <c r="D276" s="2" t="s">
        <v>573</v>
      </c>
      <c r="E276" s="2" t="s">
        <v>8</v>
      </c>
    </row>
    <row r="277" spans="1:5" ht="12.75" customHeight="1" x14ac:dyDescent="0.3">
      <c r="A277" s="2" t="s">
        <v>574</v>
      </c>
      <c r="B277" s="2" t="s">
        <v>6</v>
      </c>
      <c r="C277" s="3" t="str">
        <f>HYPERLINK("https://springer.com/709")</f>
        <v>https://springer.com/709</v>
      </c>
      <c r="D277" s="2" t="s">
        <v>575</v>
      </c>
      <c r="E277" s="2" t="s">
        <v>8</v>
      </c>
    </row>
    <row r="278" spans="1:5" ht="12.75" customHeight="1" x14ac:dyDescent="0.3">
      <c r="A278" s="2" t="s">
        <v>576</v>
      </c>
      <c r="B278" s="2" t="s">
        <v>26</v>
      </c>
      <c r="C278" s="3" t="str">
        <f>HYPERLINK("https://springer.com/710")</f>
        <v>https://springer.com/710</v>
      </c>
      <c r="D278" s="2" t="s">
        <v>577</v>
      </c>
      <c r="E278" s="2" t="s">
        <v>8</v>
      </c>
    </row>
    <row r="279" spans="1:5" ht="12.75" customHeight="1" x14ac:dyDescent="0.3">
      <c r="A279" s="2" t="s">
        <v>578</v>
      </c>
      <c r="B279" s="2" t="s">
        <v>151</v>
      </c>
      <c r="C279" s="3" t="str">
        <f>HYPERLINK("https://springer.com/712")</f>
        <v>https://springer.com/712</v>
      </c>
      <c r="D279" s="2" t="s">
        <v>579</v>
      </c>
      <c r="E279" s="2" t="s">
        <v>8</v>
      </c>
    </row>
    <row r="280" spans="1:5" ht="12.75" customHeight="1" x14ac:dyDescent="0.3">
      <c r="A280" s="2" t="s">
        <v>580</v>
      </c>
      <c r="B280" s="2" t="s">
        <v>78</v>
      </c>
      <c r="C280" s="3" t="str">
        <f>HYPERLINK("https://springer.com/717")</f>
        <v>https://springer.com/717</v>
      </c>
      <c r="D280" s="2" t="s">
        <v>581</v>
      </c>
      <c r="E280" s="2" t="s">
        <v>8</v>
      </c>
    </row>
    <row r="281" spans="1:5" ht="12.75" customHeight="1" x14ac:dyDescent="0.3">
      <c r="A281" s="2" t="s">
        <v>582</v>
      </c>
      <c r="B281" s="2" t="s">
        <v>13</v>
      </c>
      <c r="C281" s="3" t="str">
        <f>HYPERLINK("https://springer.com/723")</f>
        <v>https://springer.com/723</v>
      </c>
      <c r="D281" s="2" t="s">
        <v>583</v>
      </c>
      <c r="E281" s="2" t="s">
        <v>8</v>
      </c>
    </row>
    <row r="282" spans="1:5" ht="12.75" customHeight="1" x14ac:dyDescent="0.3">
      <c r="A282" s="2" t="s">
        <v>584</v>
      </c>
      <c r="B282" s="2" t="s">
        <v>78</v>
      </c>
      <c r="C282" s="3" t="str">
        <f>HYPERLINK("https://springer.com/729")</f>
        <v>https://springer.com/729</v>
      </c>
      <c r="D282" s="2" t="s">
        <v>585</v>
      </c>
      <c r="E282" s="2" t="s">
        <v>8</v>
      </c>
    </row>
    <row r="283" spans="1:5" ht="12.75" customHeight="1" x14ac:dyDescent="0.3">
      <c r="A283" s="2" t="s">
        <v>586</v>
      </c>
      <c r="B283" s="2" t="s">
        <v>78</v>
      </c>
      <c r="C283" s="3" t="str">
        <f>HYPERLINK("https://springer.com/735")</f>
        <v>https://springer.com/735</v>
      </c>
      <c r="D283" s="2" t="s">
        <v>587</v>
      </c>
      <c r="E283" s="2" t="s">
        <v>8</v>
      </c>
    </row>
    <row r="284" spans="1:5" ht="12.75" customHeight="1" x14ac:dyDescent="0.3">
      <c r="A284" s="2" t="s">
        <v>588</v>
      </c>
      <c r="B284" s="2" t="s">
        <v>78</v>
      </c>
      <c r="C284" s="3" t="str">
        <f>HYPERLINK("https://springer.com/737")</f>
        <v>https://springer.com/737</v>
      </c>
      <c r="D284" s="2" t="s">
        <v>589</v>
      </c>
      <c r="E284" s="2" t="s">
        <v>8</v>
      </c>
    </row>
    <row r="285" spans="1:5" ht="12.75" customHeight="1" x14ac:dyDescent="0.3">
      <c r="A285" s="2" t="s">
        <v>590</v>
      </c>
      <c r="B285" s="2" t="s">
        <v>78</v>
      </c>
      <c r="C285" s="3" t="str">
        <f>HYPERLINK("https://springer.com/739")</f>
        <v>https://springer.com/739</v>
      </c>
      <c r="D285" s="2" t="s">
        <v>591</v>
      </c>
      <c r="E285" s="2" t="s">
        <v>8</v>
      </c>
    </row>
    <row r="286" spans="1:5" ht="12.75" customHeight="1" x14ac:dyDescent="0.3">
      <c r="A286" s="2" t="s">
        <v>592</v>
      </c>
      <c r="B286" s="2" t="s">
        <v>78</v>
      </c>
      <c r="C286" s="3" t="str">
        <f>HYPERLINK("https://springer.com/740")</f>
        <v>https://springer.com/740</v>
      </c>
      <c r="D286" s="2" t="s">
        <v>593</v>
      </c>
      <c r="E286" s="2" t="s">
        <v>8</v>
      </c>
    </row>
    <row r="287" spans="1:5" ht="12.75" customHeight="1" x14ac:dyDescent="0.3">
      <c r="A287" s="2" t="s">
        <v>594</v>
      </c>
      <c r="B287" s="2" t="s">
        <v>78</v>
      </c>
      <c r="C287" s="3" t="str">
        <f>HYPERLINK("https://springer.com/761")</f>
        <v>https://springer.com/761</v>
      </c>
      <c r="D287" s="2" t="s">
        <v>595</v>
      </c>
      <c r="E287" s="2" t="s">
        <v>8</v>
      </c>
    </row>
    <row r="288" spans="1:5" ht="12.75" customHeight="1" x14ac:dyDescent="0.3">
      <c r="A288" s="2" t="s">
        <v>596</v>
      </c>
      <c r="B288" s="2" t="s">
        <v>218</v>
      </c>
      <c r="C288" s="3" t="str">
        <f>HYPERLINK("https://springer.com/764")</f>
        <v>https://springer.com/764</v>
      </c>
      <c r="D288" s="2" t="s">
        <v>597</v>
      </c>
      <c r="E288" s="2" t="s">
        <v>8</v>
      </c>
    </row>
    <row r="289" spans="1:5" ht="12.75" customHeight="1" x14ac:dyDescent="0.3">
      <c r="A289" s="2" t="s">
        <v>598</v>
      </c>
      <c r="B289" s="2" t="s">
        <v>63</v>
      </c>
      <c r="C289" s="3" t="str">
        <f>HYPERLINK("https://springer.com/766")</f>
        <v>https://springer.com/766</v>
      </c>
      <c r="D289" s="2" t="s">
        <v>599</v>
      </c>
      <c r="E289" s="2" t="s">
        <v>8</v>
      </c>
    </row>
    <row r="290" spans="1:5" ht="12.75" customHeight="1" x14ac:dyDescent="0.3">
      <c r="A290" s="2" t="s">
        <v>600</v>
      </c>
      <c r="B290" s="2" t="s">
        <v>26</v>
      </c>
      <c r="C290" s="3" t="str">
        <f>HYPERLINK("https://springer.com/767")</f>
        <v>https://springer.com/767</v>
      </c>
      <c r="D290" s="2" t="s">
        <v>601</v>
      </c>
      <c r="E290" s="2" t="s">
        <v>8</v>
      </c>
    </row>
    <row r="291" spans="1:5" ht="12.75" customHeight="1" x14ac:dyDescent="0.3">
      <c r="A291" s="2" t="s">
        <v>602</v>
      </c>
      <c r="B291" s="2" t="s">
        <v>218</v>
      </c>
      <c r="C291" s="3" t="str">
        <f>HYPERLINK("https://springer.com/769")</f>
        <v>https://springer.com/769</v>
      </c>
      <c r="D291" s="2" t="s">
        <v>603</v>
      </c>
      <c r="E291" s="2" t="s">
        <v>8</v>
      </c>
    </row>
    <row r="292" spans="1:5" ht="12.75" customHeight="1" x14ac:dyDescent="0.3">
      <c r="A292" s="2" t="s">
        <v>604</v>
      </c>
      <c r="B292" s="2" t="s">
        <v>78</v>
      </c>
      <c r="C292" s="3" t="str">
        <f>HYPERLINK("https://springer.com/772")</f>
        <v>https://springer.com/772</v>
      </c>
      <c r="D292" s="2" t="s">
        <v>605</v>
      </c>
      <c r="E292" s="2" t="s">
        <v>8</v>
      </c>
    </row>
    <row r="293" spans="1:5" ht="12.75" customHeight="1" x14ac:dyDescent="0.3">
      <c r="A293" s="2" t="s">
        <v>606</v>
      </c>
      <c r="B293" s="2" t="s">
        <v>56</v>
      </c>
      <c r="C293" s="3" t="str">
        <f>HYPERLINK("https://springer.com/773")</f>
        <v>https://springer.com/773</v>
      </c>
      <c r="D293" s="2" t="s">
        <v>607</v>
      </c>
      <c r="E293" s="2" t="s">
        <v>8</v>
      </c>
    </row>
    <row r="294" spans="1:5" ht="12.75" customHeight="1" x14ac:dyDescent="0.3">
      <c r="A294" s="2" t="s">
        <v>608</v>
      </c>
      <c r="B294" s="2" t="s">
        <v>78</v>
      </c>
      <c r="C294" s="3" t="str">
        <f>HYPERLINK("https://springer.com/774")</f>
        <v>https://springer.com/774</v>
      </c>
      <c r="D294" s="2" t="s">
        <v>609</v>
      </c>
      <c r="E294" s="2" t="s">
        <v>8</v>
      </c>
    </row>
    <row r="295" spans="1:5" ht="12.75" customHeight="1" x14ac:dyDescent="0.3">
      <c r="A295" s="2" t="s">
        <v>610</v>
      </c>
      <c r="B295" s="2" t="s">
        <v>6</v>
      </c>
      <c r="C295" s="3" t="str">
        <f>HYPERLINK("https://springer.com/775")</f>
        <v>https://springer.com/775</v>
      </c>
      <c r="D295" s="2" t="s">
        <v>611</v>
      </c>
      <c r="E295" s="2" t="s">
        <v>8</v>
      </c>
    </row>
    <row r="296" spans="1:5" ht="12.75" customHeight="1" x14ac:dyDescent="0.3">
      <c r="A296" s="2" t="s">
        <v>612</v>
      </c>
      <c r="B296" s="2" t="s">
        <v>63</v>
      </c>
      <c r="C296" s="3" t="str">
        <f>HYPERLINK("https://springer.com/778")</f>
        <v>https://springer.com/778</v>
      </c>
      <c r="D296" s="2" t="s">
        <v>613</v>
      </c>
      <c r="E296" s="2" t="s">
        <v>8</v>
      </c>
    </row>
    <row r="297" spans="1:5" ht="12.75" customHeight="1" x14ac:dyDescent="0.3">
      <c r="A297" s="2" t="s">
        <v>614</v>
      </c>
      <c r="B297" s="2" t="s">
        <v>63</v>
      </c>
      <c r="C297" s="3" t="str">
        <f>HYPERLINK("https://springer.com/779")</f>
        <v>https://springer.com/779</v>
      </c>
      <c r="D297" s="2" t="s">
        <v>615</v>
      </c>
      <c r="E297" s="2" t="s">
        <v>8</v>
      </c>
    </row>
    <row r="298" spans="1:5" ht="12.75" customHeight="1" x14ac:dyDescent="0.3">
      <c r="A298" s="2" t="s">
        <v>616</v>
      </c>
      <c r="B298" s="2" t="s">
        <v>10</v>
      </c>
      <c r="C298" s="3" t="str">
        <f>HYPERLINK("https://springer.com/780")</f>
        <v>https://springer.com/780</v>
      </c>
      <c r="D298" s="2" t="s">
        <v>617</v>
      </c>
      <c r="E298" s="2" t="s">
        <v>8</v>
      </c>
    </row>
    <row r="299" spans="1:5" ht="12.75" customHeight="1" x14ac:dyDescent="0.3">
      <c r="A299" s="2" t="s">
        <v>618</v>
      </c>
      <c r="B299" s="2" t="s">
        <v>82</v>
      </c>
      <c r="C299" s="3" t="str">
        <f>HYPERLINK("https://springer.com/784")</f>
        <v>https://springer.com/784</v>
      </c>
      <c r="D299" s="2" t="s">
        <v>619</v>
      </c>
      <c r="E299" s="2" t="s">
        <v>8</v>
      </c>
    </row>
    <row r="300" spans="1:5" ht="12.75" customHeight="1" x14ac:dyDescent="0.3">
      <c r="A300" s="2" t="s">
        <v>620</v>
      </c>
      <c r="B300" s="2" t="s">
        <v>78</v>
      </c>
      <c r="C300" s="3" t="str">
        <f>HYPERLINK("https://springer.com/787")</f>
        <v>https://springer.com/787</v>
      </c>
      <c r="D300" s="2" t="s">
        <v>621</v>
      </c>
      <c r="E300" s="2" t="s">
        <v>8</v>
      </c>
    </row>
    <row r="301" spans="1:5" ht="12.75" customHeight="1" x14ac:dyDescent="0.3">
      <c r="A301" s="2" t="s">
        <v>622</v>
      </c>
      <c r="B301" s="2" t="s">
        <v>6</v>
      </c>
      <c r="C301" s="3" t="str">
        <f>HYPERLINK("https://springer.com/792")</f>
        <v>https://springer.com/792</v>
      </c>
      <c r="D301" s="2" t="s">
        <v>623</v>
      </c>
      <c r="E301" s="2" t="s">
        <v>8</v>
      </c>
    </row>
    <row r="302" spans="1:5" ht="12.75" customHeight="1" x14ac:dyDescent="0.3">
      <c r="A302" s="2" t="s">
        <v>624</v>
      </c>
      <c r="B302" s="2" t="s">
        <v>78</v>
      </c>
      <c r="C302" s="3" t="str">
        <f>HYPERLINK("https://springer.com/795")</f>
        <v>https://springer.com/795</v>
      </c>
      <c r="D302" s="2" t="s">
        <v>625</v>
      </c>
      <c r="E302" s="2" t="s">
        <v>8</v>
      </c>
    </row>
    <row r="303" spans="1:5" ht="12.75" customHeight="1" x14ac:dyDescent="0.3">
      <c r="A303" s="2" t="s">
        <v>626</v>
      </c>
      <c r="B303" s="2" t="s">
        <v>63</v>
      </c>
      <c r="C303" s="3" t="str">
        <f>HYPERLINK("https://springer.com/799")</f>
        <v>https://springer.com/799</v>
      </c>
      <c r="D303" s="2" t="s">
        <v>627</v>
      </c>
      <c r="E303" s="2" t="s">
        <v>8</v>
      </c>
    </row>
    <row r="304" spans="1:5" ht="12.75" customHeight="1" x14ac:dyDescent="0.3">
      <c r="A304" s="2" t="s">
        <v>628</v>
      </c>
      <c r="B304" s="2" t="s">
        <v>218</v>
      </c>
      <c r="C304" s="3" t="str">
        <f>HYPERLINK("https://springer.com/894")</f>
        <v>https://springer.com/894</v>
      </c>
      <c r="D304" s="2" t="s">
        <v>629</v>
      </c>
      <c r="E304" s="2" t="s">
        <v>8</v>
      </c>
    </row>
    <row r="305" spans="1:5" ht="12.75" customHeight="1" x14ac:dyDescent="0.3">
      <c r="A305" s="2" t="s">
        <v>630</v>
      </c>
      <c r="B305" s="2" t="s">
        <v>78</v>
      </c>
      <c r="C305" s="3" t="str">
        <f>HYPERLINK("https://springer.com/10006")</f>
        <v>https://springer.com/10006</v>
      </c>
      <c r="D305" s="2" t="s">
        <v>631</v>
      </c>
      <c r="E305" s="2" t="s">
        <v>8</v>
      </c>
    </row>
    <row r="306" spans="1:5" ht="12.75" customHeight="1" x14ac:dyDescent="0.3">
      <c r="A306" s="2" t="s">
        <v>632</v>
      </c>
      <c r="B306" s="2" t="s">
        <v>218</v>
      </c>
      <c r="C306" s="3" t="str">
        <f>HYPERLINK("https://springer.com/10008")</f>
        <v>https://springer.com/10008</v>
      </c>
      <c r="D306" s="2" t="s">
        <v>633</v>
      </c>
      <c r="E306" s="2" t="s">
        <v>8</v>
      </c>
    </row>
    <row r="307" spans="1:5" ht="12.75" customHeight="1" x14ac:dyDescent="0.3">
      <c r="A307" s="2" t="s">
        <v>634</v>
      </c>
      <c r="B307" s="2" t="s">
        <v>63</v>
      </c>
      <c r="C307" s="3" t="str">
        <f>HYPERLINK("https://springer.com/10009")</f>
        <v>https://springer.com/10009</v>
      </c>
      <c r="D307" s="2" t="s">
        <v>635</v>
      </c>
      <c r="E307" s="2" t="s">
        <v>8</v>
      </c>
    </row>
    <row r="308" spans="1:5" ht="12.75" customHeight="1" x14ac:dyDescent="0.3">
      <c r="A308" s="2" t="s">
        <v>636</v>
      </c>
      <c r="B308" s="2" t="s">
        <v>56</v>
      </c>
      <c r="C308" s="3" t="str">
        <f>HYPERLINK("https://springer.com/10010")</f>
        <v>https://springer.com/10010</v>
      </c>
      <c r="D308" s="2" t="s">
        <v>637</v>
      </c>
      <c r="E308" s="2" t="s">
        <v>8</v>
      </c>
    </row>
    <row r="309" spans="1:5" ht="12.75" customHeight="1" x14ac:dyDescent="0.3">
      <c r="A309" s="2" t="s">
        <v>638</v>
      </c>
      <c r="B309" s="2" t="s">
        <v>10</v>
      </c>
      <c r="C309" s="3" t="str">
        <f>HYPERLINK("https://springer.com/10013")</f>
        <v>https://springer.com/10013</v>
      </c>
      <c r="D309" s="2" t="s">
        <v>639</v>
      </c>
      <c r="E309" s="2" t="s">
        <v>8</v>
      </c>
    </row>
    <row r="310" spans="1:5" ht="12.75" customHeight="1" x14ac:dyDescent="0.3">
      <c r="A310" s="2" t="s">
        <v>640</v>
      </c>
      <c r="B310" s="2" t="s">
        <v>78</v>
      </c>
      <c r="C310" s="3" t="str">
        <f>HYPERLINK("https://springer.com/10014")</f>
        <v>https://springer.com/10014</v>
      </c>
      <c r="D310" s="2" t="s">
        <v>641</v>
      </c>
      <c r="E310" s="2" t="s">
        <v>8</v>
      </c>
    </row>
    <row r="311" spans="1:5" ht="12.75" customHeight="1" x14ac:dyDescent="0.3">
      <c r="A311" s="2" t="s">
        <v>642</v>
      </c>
      <c r="B311" s="2" t="s">
        <v>63</v>
      </c>
      <c r="C311" s="3" t="str">
        <f>HYPERLINK("https://springer.com/10015")</f>
        <v>https://springer.com/10015</v>
      </c>
      <c r="D311" s="2" t="s">
        <v>643</v>
      </c>
      <c r="E311" s="2" t="s">
        <v>8</v>
      </c>
    </row>
    <row r="312" spans="1:5" ht="12.75" customHeight="1" x14ac:dyDescent="0.3">
      <c r="A312" s="2" t="s">
        <v>644</v>
      </c>
      <c r="B312" s="2" t="s">
        <v>151</v>
      </c>
      <c r="C312" s="3" t="str">
        <f>HYPERLINK("https://springer.com/10018")</f>
        <v>https://springer.com/10018</v>
      </c>
      <c r="D312" s="2" t="s">
        <v>645</v>
      </c>
      <c r="E312" s="2" t="s">
        <v>8</v>
      </c>
    </row>
    <row r="313" spans="1:5" ht="12.75" customHeight="1" x14ac:dyDescent="0.3">
      <c r="A313" s="2" t="s">
        <v>646</v>
      </c>
      <c r="B313" s="2" t="s">
        <v>6</v>
      </c>
      <c r="C313" s="3" t="str">
        <f>HYPERLINK("https://springer.com/10021")</f>
        <v>https://springer.com/10021</v>
      </c>
      <c r="D313" s="2" t="s">
        <v>647</v>
      </c>
      <c r="E313" s="2" t="s">
        <v>8</v>
      </c>
    </row>
    <row r="314" spans="1:5" ht="12.75" customHeight="1" x14ac:dyDescent="0.3">
      <c r="A314" s="2" t="s">
        <v>648</v>
      </c>
      <c r="B314" s="2" t="s">
        <v>78</v>
      </c>
      <c r="C314" s="3" t="str">
        <f>HYPERLINK("https://springer.com/10029")</f>
        <v>https://springer.com/10029</v>
      </c>
      <c r="D314" s="2" t="s">
        <v>649</v>
      </c>
      <c r="E314" s="2" t="s">
        <v>8</v>
      </c>
    </row>
    <row r="315" spans="1:5" ht="12.75" customHeight="1" x14ac:dyDescent="0.3">
      <c r="A315" s="2" t="s">
        <v>650</v>
      </c>
      <c r="B315" s="2" t="s">
        <v>63</v>
      </c>
      <c r="C315" s="3" t="str">
        <f>HYPERLINK("https://springer.com/10032")</f>
        <v>https://springer.com/10032</v>
      </c>
      <c r="D315" s="2" t="s">
        <v>651</v>
      </c>
      <c r="E315" s="2" t="s">
        <v>8</v>
      </c>
    </row>
    <row r="316" spans="1:5" ht="12.75" customHeight="1" x14ac:dyDescent="0.3">
      <c r="A316" s="2" t="s">
        <v>652</v>
      </c>
      <c r="B316" s="2" t="s">
        <v>13</v>
      </c>
      <c r="C316" s="3" t="str">
        <f>HYPERLINK("https://springer.com/10035")</f>
        <v>https://springer.com/10035</v>
      </c>
      <c r="D316" s="2" t="s">
        <v>653</v>
      </c>
      <c r="E316" s="2" t="s">
        <v>8</v>
      </c>
    </row>
    <row r="317" spans="1:5" ht="12.75" customHeight="1" x14ac:dyDescent="0.3">
      <c r="A317" s="2" t="s">
        <v>654</v>
      </c>
      <c r="B317" s="2" t="s">
        <v>151</v>
      </c>
      <c r="C317" s="3" t="str">
        <f>HYPERLINK("https://springer.com/10037")</f>
        <v>https://springer.com/10037</v>
      </c>
      <c r="D317" s="2" t="s">
        <v>655</v>
      </c>
      <c r="E317" s="2" t="s">
        <v>8</v>
      </c>
    </row>
    <row r="318" spans="1:5" ht="12.75" customHeight="1" x14ac:dyDescent="0.3">
      <c r="A318" s="2" t="s">
        <v>656</v>
      </c>
      <c r="B318" s="2" t="s">
        <v>20</v>
      </c>
      <c r="C318" s="3" t="str">
        <f>HYPERLINK("https://springer.com/10038")</f>
        <v>https://springer.com/10038</v>
      </c>
      <c r="D318" s="2" t="s">
        <v>657</v>
      </c>
      <c r="E318" s="2" t="s">
        <v>8</v>
      </c>
    </row>
    <row r="319" spans="1:5" ht="12.75" customHeight="1" x14ac:dyDescent="0.3">
      <c r="A319" s="2" t="s">
        <v>658</v>
      </c>
      <c r="B319" s="2" t="s">
        <v>26</v>
      </c>
      <c r="C319" s="3" t="str">
        <f>HYPERLINK("https://springer.com/10040")</f>
        <v>https://springer.com/10040</v>
      </c>
      <c r="D319" s="2" t="s">
        <v>659</v>
      </c>
      <c r="E319" s="2" t="s">
        <v>8</v>
      </c>
    </row>
    <row r="320" spans="1:5" ht="12.75" customHeight="1" x14ac:dyDescent="0.3">
      <c r="A320" s="2" t="s">
        <v>660</v>
      </c>
      <c r="B320" s="2" t="s">
        <v>13</v>
      </c>
      <c r="C320" s="3" t="str">
        <f>HYPERLINK("https://springer.com/10043")</f>
        <v>https://springer.com/10043</v>
      </c>
      <c r="D320" s="2" t="s">
        <v>661</v>
      </c>
      <c r="E320" s="2" t="s">
        <v>8</v>
      </c>
    </row>
    <row r="321" spans="1:5" ht="12.75" customHeight="1" x14ac:dyDescent="0.3">
      <c r="A321" s="2" t="s">
        <v>662</v>
      </c>
      <c r="B321" s="2" t="s">
        <v>63</v>
      </c>
      <c r="C321" s="3" t="str">
        <f>HYPERLINK("https://springer.com/10044")</f>
        <v>https://springer.com/10044</v>
      </c>
      <c r="D321" s="2" t="s">
        <v>663</v>
      </c>
      <c r="E321" s="2" t="s">
        <v>8</v>
      </c>
    </row>
    <row r="322" spans="1:5" ht="12.75" customHeight="1" x14ac:dyDescent="0.3">
      <c r="A322" s="2" t="s">
        <v>664</v>
      </c>
      <c r="B322" s="2" t="s">
        <v>78</v>
      </c>
      <c r="C322" s="3" t="str">
        <f>HYPERLINK("https://springer.com/10047")</f>
        <v>https://springer.com/10047</v>
      </c>
      <c r="D322" s="2" t="s">
        <v>665</v>
      </c>
      <c r="E322" s="2" t="s">
        <v>8</v>
      </c>
    </row>
    <row r="323" spans="1:5" ht="12.75" customHeight="1" x14ac:dyDescent="0.3">
      <c r="A323" s="2" t="s">
        <v>666</v>
      </c>
      <c r="B323" s="2" t="s">
        <v>78</v>
      </c>
      <c r="C323" s="3" t="str">
        <f>HYPERLINK("https://springer.com/10048")</f>
        <v>https://springer.com/10048</v>
      </c>
      <c r="D323" s="2" t="s">
        <v>667</v>
      </c>
      <c r="E323" s="2" t="s">
        <v>8</v>
      </c>
    </row>
    <row r="324" spans="1:5" ht="12.75" customHeight="1" x14ac:dyDescent="0.3">
      <c r="A324" s="2" t="s">
        <v>668</v>
      </c>
      <c r="B324" s="2" t="s">
        <v>78</v>
      </c>
      <c r="C324" s="3" t="str">
        <f>HYPERLINK("https://springer.com/10049")</f>
        <v>https://springer.com/10049</v>
      </c>
      <c r="D324" s="2" t="s">
        <v>669</v>
      </c>
      <c r="E324" s="2" t="s">
        <v>8</v>
      </c>
    </row>
    <row r="325" spans="1:5" ht="12.75" customHeight="1" x14ac:dyDescent="0.3">
      <c r="A325" s="2" t="s">
        <v>670</v>
      </c>
      <c r="B325" s="2" t="s">
        <v>13</v>
      </c>
      <c r="C325" s="3" t="str">
        <f>HYPERLINK("https://springer.com/10050")</f>
        <v>https://springer.com/10050</v>
      </c>
      <c r="D325" s="2" t="s">
        <v>671</v>
      </c>
      <c r="E325" s="2" t="s">
        <v>8</v>
      </c>
    </row>
    <row r="326" spans="1:5" ht="12.75" customHeight="1" x14ac:dyDescent="0.3">
      <c r="A326" s="2" t="s">
        <v>672</v>
      </c>
      <c r="B326" s="2" t="s">
        <v>13</v>
      </c>
      <c r="C326" s="3" t="str">
        <f>HYPERLINK("https://springer.com/10051")</f>
        <v>https://springer.com/10051</v>
      </c>
      <c r="D326" s="2" t="s">
        <v>673</v>
      </c>
      <c r="E326" s="2" t="s">
        <v>8</v>
      </c>
    </row>
    <row r="327" spans="1:5" ht="12.75" customHeight="1" x14ac:dyDescent="0.3">
      <c r="A327" s="2" t="s">
        <v>674</v>
      </c>
      <c r="B327" s="2" t="s">
        <v>13</v>
      </c>
      <c r="C327" s="3" t="str">
        <f>HYPERLINK("https://springer.com/10053")</f>
        <v>https://springer.com/10053</v>
      </c>
      <c r="D327" s="2" t="s">
        <v>675</v>
      </c>
      <c r="E327" s="2" t="s">
        <v>8</v>
      </c>
    </row>
    <row r="328" spans="1:5" ht="12.75" customHeight="1" x14ac:dyDescent="0.3">
      <c r="A328" s="2" t="s">
        <v>676</v>
      </c>
      <c r="B328" s="2" t="s">
        <v>151</v>
      </c>
      <c r="C328" s="3" t="str">
        <f>HYPERLINK("https://springer.com/10058")</f>
        <v>https://springer.com/10058</v>
      </c>
      <c r="D328" s="2" t="s">
        <v>677</v>
      </c>
      <c r="E328" s="2" t="s">
        <v>8</v>
      </c>
    </row>
    <row r="329" spans="1:5" ht="12.75" customHeight="1" x14ac:dyDescent="0.3">
      <c r="A329" s="2" t="s">
        <v>678</v>
      </c>
      <c r="B329" s="2" t="s">
        <v>26</v>
      </c>
      <c r="C329" s="3" t="str">
        <f>HYPERLINK("https://springer.com/10064")</f>
        <v>https://springer.com/10064</v>
      </c>
      <c r="D329" s="2" t="s">
        <v>679</v>
      </c>
      <c r="E329" s="2" t="s">
        <v>8</v>
      </c>
    </row>
    <row r="330" spans="1:5" ht="12.75" customHeight="1" x14ac:dyDescent="0.3">
      <c r="A330" s="2" t="s">
        <v>680</v>
      </c>
      <c r="B330" s="2" t="s">
        <v>78</v>
      </c>
      <c r="C330" s="3" t="str">
        <f>HYPERLINK("https://springer.com/10067")</f>
        <v>https://springer.com/10067</v>
      </c>
      <c r="D330" s="2" t="s">
        <v>681</v>
      </c>
      <c r="E330" s="2" t="s">
        <v>8</v>
      </c>
    </row>
    <row r="331" spans="1:5" ht="12.75" customHeight="1" x14ac:dyDescent="0.3">
      <c r="A331" s="2" t="s">
        <v>682</v>
      </c>
      <c r="B331" s="2" t="s">
        <v>218</v>
      </c>
      <c r="C331" s="3" t="str">
        <f>HYPERLINK("https://springer.com/10068")</f>
        <v>https://springer.com/10068</v>
      </c>
      <c r="D331" s="2" t="s">
        <v>683</v>
      </c>
      <c r="E331" s="2" t="s">
        <v>8</v>
      </c>
    </row>
    <row r="332" spans="1:5" ht="12.75" customHeight="1" x14ac:dyDescent="0.3">
      <c r="A332" s="2" t="s">
        <v>684</v>
      </c>
      <c r="B332" s="2" t="s">
        <v>78</v>
      </c>
      <c r="C332" s="3" t="str">
        <f>HYPERLINK("https://springer.com/10072")</f>
        <v>https://springer.com/10072</v>
      </c>
      <c r="D332" s="2" t="s">
        <v>685</v>
      </c>
      <c r="E332" s="2" t="s">
        <v>8</v>
      </c>
    </row>
    <row r="333" spans="1:5" ht="12.75" customHeight="1" x14ac:dyDescent="0.3">
      <c r="A333" s="2" t="s">
        <v>686</v>
      </c>
      <c r="B333" s="2" t="s">
        <v>10</v>
      </c>
      <c r="C333" s="3" t="str">
        <f>HYPERLINK("https://springer.com/10092")</f>
        <v>https://springer.com/10092</v>
      </c>
      <c r="D333" s="2" t="s">
        <v>687</v>
      </c>
      <c r="E333" s="2" t="s">
        <v>8</v>
      </c>
    </row>
    <row r="334" spans="1:5" ht="12.75" customHeight="1" x14ac:dyDescent="0.3">
      <c r="A334" s="2" t="s">
        <v>688</v>
      </c>
      <c r="B334" s="2" t="s">
        <v>20</v>
      </c>
      <c r="C334" s="3" t="str">
        <f>HYPERLINK("https://springer.com/10096")</f>
        <v>https://springer.com/10096</v>
      </c>
      <c r="D334" s="2" t="s">
        <v>689</v>
      </c>
      <c r="E334" s="2" t="s">
        <v>8</v>
      </c>
    </row>
    <row r="335" spans="1:5" ht="12.75" customHeight="1" x14ac:dyDescent="0.3">
      <c r="A335" s="2" t="s">
        <v>690</v>
      </c>
      <c r="B335" s="2" t="s">
        <v>133</v>
      </c>
      <c r="C335" s="3" t="str">
        <f>HYPERLINK("https://springer.com/10098")</f>
        <v>https://springer.com/10098</v>
      </c>
      <c r="D335" s="2" t="s">
        <v>691</v>
      </c>
      <c r="E335" s="2" t="s">
        <v>8</v>
      </c>
    </row>
    <row r="336" spans="1:5" ht="12.75" customHeight="1" x14ac:dyDescent="0.3">
      <c r="A336" s="2" t="s">
        <v>692</v>
      </c>
      <c r="B336" s="2" t="s">
        <v>181</v>
      </c>
      <c r="C336" s="3" t="str">
        <f>HYPERLINK("https://springer.com/10100")</f>
        <v>https://springer.com/10100</v>
      </c>
      <c r="D336" s="2" t="s">
        <v>693</v>
      </c>
      <c r="E336" s="2" t="s">
        <v>8</v>
      </c>
    </row>
    <row r="337" spans="1:5" ht="12.75" customHeight="1" x14ac:dyDescent="0.3">
      <c r="A337" s="2" t="s">
        <v>694</v>
      </c>
      <c r="B337" s="2" t="s">
        <v>151</v>
      </c>
      <c r="C337" s="3" t="str">
        <f>HYPERLINK("https://springer.com/10101")</f>
        <v>https://springer.com/10101</v>
      </c>
      <c r="D337" s="2" t="s">
        <v>695</v>
      </c>
      <c r="E337" s="2" t="s">
        <v>8</v>
      </c>
    </row>
    <row r="338" spans="1:5" ht="12.75" customHeight="1" x14ac:dyDescent="0.3">
      <c r="A338" s="2" t="s">
        <v>696</v>
      </c>
      <c r="B338" s="2" t="s">
        <v>78</v>
      </c>
      <c r="C338" s="3" t="str">
        <f>HYPERLINK("https://springer.com/10103")</f>
        <v>https://springer.com/10103</v>
      </c>
      <c r="D338" s="2" t="s">
        <v>697</v>
      </c>
      <c r="E338" s="2" t="s">
        <v>8</v>
      </c>
    </row>
    <row r="339" spans="1:5" ht="12.75" customHeight="1" x14ac:dyDescent="0.3">
      <c r="A339" s="2" t="s">
        <v>698</v>
      </c>
      <c r="B339" s="2" t="s">
        <v>10</v>
      </c>
      <c r="C339" s="3" t="str">
        <f>HYPERLINK("https://springer.com/10107")</f>
        <v>https://springer.com/10107</v>
      </c>
      <c r="D339" s="2" t="s">
        <v>699</v>
      </c>
      <c r="E339" s="2" t="s">
        <v>8</v>
      </c>
    </row>
    <row r="340" spans="1:5" ht="12.75" customHeight="1" x14ac:dyDescent="0.3">
      <c r="A340" s="2" t="s">
        <v>700</v>
      </c>
      <c r="B340" s="2" t="s">
        <v>151</v>
      </c>
      <c r="C340" s="3" t="str">
        <f>HYPERLINK("https://springer.com/10109")</f>
        <v>https://springer.com/10109</v>
      </c>
      <c r="D340" s="2" t="s">
        <v>701</v>
      </c>
      <c r="E340" s="2" t="s">
        <v>8</v>
      </c>
    </row>
    <row r="341" spans="1:5" ht="12.75" customHeight="1" x14ac:dyDescent="0.3">
      <c r="A341" s="2" t="s">
        <v>702</v>
      </c>
      <c r="B341" s="2" t="s">
        <v>63</v>
      </c>
      <c r="C341" s="3" t="str">
        <f>HYPERLINK("https://springer.com/10111")</f>
        <v>https://springer.com/10111</v>
      </c>
      <c r="D341" s="2" t="s">
        <v>703</v>
      </c>
      <c r="E341" s="2" t="s">
        <v>8</v>
      </c>
    </row>
    <row r="342" spans="1:5" ht="12.75" customHeight="1" x14ac:dyDescent="0.3">
      <c r="A342" s="2" t="s">
        <v>704</v>
      </c>
      <c r="B342" s="2" t="s">
        <v>133</v>
      </c>
      <c r="C342" s="3" t="str">
        <f>HYPERLINK("https://springer.com/10113")</f>
        <v>https://springer.com/10113</v>
      </c>
      <c r="D342" s="2" t="s">
        <v>705</v>
      </c>
      <c r="E342" s="2" t="s">
        <v>8</v>
      </c>
    </row>
    <row r="343" spans="1:5" ht="12.75" customHeight="1" x14ac:dyDescent="0.3">
      <c r="A343" s="2" t="s">
        <v>706</v>
      </c>
      <c r="B343" s="2" t="s">
        <v>10</v>
      </c>
      <c r="C343" s="3" t="str">
        <f>HYPERLINK("https://springer.com/10114")</f>
        <v>https://springer.com/10114</v>
      </c>
      <c r="D343" s="2" t="s">
        <v>707</v>
      </c>
      <c r="E343" s="2" t="s">
        <v>8</v>
      </c>
    </row>
    <row r="344" spans="1:5" ht="12.75" customHeight="1" x14ac:dyDescent="0.3">
      <c r="A344" s="2" t="s">
        <v>708</v>
      </c>
      <c r="B344" s="2" t="s">
        <v>63</v>
      </c>
      <c r="C344" s="3" t="str">
        <f>HYPERLINK("https://springer.com/10115")</f>
        <v>https://springer.com/10115</v>
      </c>
      <c r="D344" s="2" t="s">
        <v>709</v>
      </c>
      <c r="E344" s="2" t="s">
        <v>8</v>
      </c>
    </row>
    <row r="345" spans="1:5" ht="12.75" customHeight="1" x14ac:dyDescent="0.3">
      <c r="A345" s="2" t="s">
        <v>710</v>
      </c>
      <c r="B345" s="2" t="s">
        <v>218</v>
      </c>
      <c r="C345" s="3" t="str">
        <f>HYPERLINK("https://springer.com/10118")</f>
        <v>https://springer.com/10118</v>
      </c>
      <c r="D345" s="2" t="s">
        <v>711</v>
      </c>
      <c r="E345" s="2" t="s">
        <v>8</v>
      </c>
    </row>
    <row r="346" spans="1:5" ht="12.75" customHeight="1" x14ac:dyDescent="0.3">
      <c r="A346" s="2" t="s">
        <v>712</v>
      </c>
      <c r="B346" s="2" t="s">
        <v>78</v>
      </c>
      <c r="C346" s="3" t="str">
        <f>HYPERLINK("https://springer.com/10120")</f>
        <v>https://springer.com/10120</v>
      </c>
      <c r="D346" s="2" t="s">
        <v>713</v>
      </c>
      <c r="E346" s="2" t="s">
        <v>8</v>
      </c>
    </row>
    <row r="347" spans="1:5" ht="12.75" customHeight="1" x14ac:dyDescent="0.3">
      <c r="A347" s="2" t="s">
        <v>714</v>
      </c>
      <c r="B347" s="2" t="s">
        <v>6</v>
      </c>
      <c r="C347" s="3" t="str">
        <f>HYPERLINK("https://springer.com/10123")</f>
        <v>https://springer.com/10123</v>
      </c>
      <c r="D347" s="2" t="s">
        <v>715</v>
      </c>
      <c r="E347" s="2" t="s">
        <v>8</v>
      </c>
    </row>
    <row r="348" spans="1:5" ht="12.75" customHeight="1" x14ac:dyDescent="0.3">
      <c r="A348" s="2" t="s">
        <v>716</v>
      </c>
      <c r="B348" s="2" t="s">
        <v>6</v>
      </c>
      <c r="C348" s="3" t="str">
        <f>HYPERLINK("https://springer.com/10126")</f>
        <v>https://springer.com/10126</v>
      </c>
      <c r="D348" s="2" t="s">
        <v>717</v>
      </c>
      <c r="E348" s="2" t="s">
        <v>8</v>
      </c>
    </row>
    <row r="349" spans="1:5" ht="12.75" customHeight="1" x14ac:dyDescent="0.3">
      <c r="A349" s="2" t="s">
        <v>718</v>
      </c>
      <c r="B349" s="2" t="s">
        <v>78</v>
      </c>
      <c r="C349" s="3" t="str">
        <f>HYPERLINK("https://springer.com/10140")</f>
        <v>https://springer.com/10140</v>
      </c>
      <c r="D349" s="2" t="s">
        <v>719</v>
      </c>
      <c r="E349" s="2" t="s">
        <v>8</v>
      </c>
    </row>
    <row r="350" spans="1:5" ht="12.75" customHeight="1" x14ac:dyDescent="0.3">
      <c r="A350" s="2" t="s">
        <v>720</v>
      </c>
      <c r="B350" s="2" t="s">
        <v>6</v>
      </c>
      <c r="C350" s="3" t="str">
        <f>HYPERLINK("https://springer.com/10142")</f>
        <v>https://springer.com/10142</v>
      </c>
      <c r="D350" s="2" t="s">
        <v>721</v>
      </c>
      <c r="E350" s="2" t="s">
        <v>8</v>
      </c>
    </row>
    <row r="351" spans="1:5" ht="12.75" customHeight="1" x14ac:dyDescent="0.3">
      <c r="A351" s="2" t="s">
        <v>722</v>
      </c>
      <c r="B351" s="2" t="s">
        <v>78</v>
      </c>
      <c r="C351" s="3" t="str">
        <f>HYPERLINK("https://springer.com/10143")</f>
        <v>https://springer.com/10143</v>
      </c>
      <c r="D351" s="2" t="s">
        <v>723</v>
      </c>
      <c r="E351" s="2" t="s">
        <v>8</v>
      </c>
    </row>
    <row r="352" spans="1:5" ht="12.75" customHeight="1" x14ac:dyDescent="0.3">
      <c r="A352" s="2" t="s">
        <v>724</v>
      </c>
      <c r="B352" s="2" t="s">
        <v>78</v>
      </c>
      <c r="C352" s="3" t="str">
        <f>HYPERLINK("https://springer.com/10147")</f>
        <v>https://springer.com/10147</v>
      </c>
      <c r="D352" s="2" t="s">
        <v>725</v>
      </c>
      <c r="E352" s="2" t="s">
        <v>8</v>
      </c>
    </row>
    <row r="353" spans="1:5" ht="12.75" customHeight="1" x14ac:dyDescent="0.3">
      <c r="A353" s="2" t="s">
        <v>726</v>
      </c>
      <c r="B353" s="2" t="s">
        <v>78</v>
      </c>
      <c r="C353" s="3" t="str">
        <f>HYPERLINK("https://springer.com/10157")</f>
        <v>https://springer.com/10157</v>
      </c>
      <c r="D353" s="2" t="s">
        <v>727</v>
      </c>
      <c r="E353" s="2" t="s">
        <v>8</v>
      </c>
    </row>
    <row r="354" spans="1:5" ht="12.75" customHeight="1" x14ac:dyDescent="0.3">
      <c r="A354" s="2" t="s">
        <v>728</v>
      </c>
      <c r="B354" s="2" t="s">
        <v>78</v>
      </c>
      <c r="C354" s="3" t="str">
        <f>HYPERLINK("https://springer.com/10162")</f>
        <v>https://springer.com/10162</v>
      </c>
      <c r="D354" s="2" t="s">
        <v>729</v>
      </c>
      <c r="E354" s="2" t="s">
        <v>8</v>
      </c>
    </row>
    <row r="355" spans="1:5" ht="12.75" customHeight="1" x14ac:dyDescent="0.3">
      <c r="A355" s="2" t="s">
        <v>730</v>
      </c>
      <c r="B355" s="2" t="s">
        <v>56</v>
      </c>
      <c r="C355" s="3" t="str">
        <f>HYPERLINK("https://springer.com/10163")</f>
        <v>https://springer.com/10163</v>
      </c>
      <c r="D355" s="2" t="s">
        <v>731</v>
      </c>
      <c r="E355" s="2" t="s">
        <v>8</v>
      </c>
    </row>
    <row r="356" spans="1:5" ht="12.75" customHeight="1" x14ac:dyDescent="0.3">
      <c r="A356" s="2" t="s">
        <v>732</v>
      </c>
      <c r="B356" s="2" t="s">
        <v>6</v>
      </c>
      <c r="C356" s="3" t="str">
        <f>HYPERLINK("https://springer.com/10164")</f>
        <v>https://springer.com/10164</v>
      </c>
      <c r="D356" s="2" t="s">
        <v>733</v>
      </c>
      <c r="E356" s="2" t="s">
        <v>8</v>
      </c>
    </row>
    <row r="357" spans="1:5" ht="12.75" customHeight="1" x14ac:dyDescent="0.3">
      <c r="A357" s="2" t="s">
        <v>734</v>
      </c>
      <c r="B357" s="2" t="s">
        <v>170</v>
      </c>
      <c r="C357" s="3" t="str">
        <f>HYPERLINK("https://springer.com/10182")</f>
        <v>https://springer.com/10182</v>
      </c>
      <c r="D357" s="2" t="s">
        <v>735</v>
      </c>
      <c r="E357" s="2" t="s">
        <v>8</v>
      </c>
    </row>
    <row r="358" spans="1:5" ht="12.75" customHeight="1" x14ac:dyDescent="0.3">
      <c r="A358" s="2" t="s">
        <v>736</v>
      </c>
      <c r="B358" s="2" t="s">
        <v>13</v>
      </c>
      <c r="C358" s="3" t="str">
        <f>HYPERLINK("https://springer.com/10189")</f>
        <v>https://springer.com/10189</v>
      </c>
      <c r="D358" s="2" t="s">
        <v>737</v>
      </c>
      <c r="E358" s="2" t="s">
        <v>8</v>
      </c>
    </row>
    <row r="359" spans="1:5" ht="12.75" customHeight="1" x14ac:dyDescent="0.3">
      <c r="A359" s="2" t="s">
        <v>738</v>
      </c>
      <c r="B359" s="2" t="s">
        <v>78</v>
      </c>
      <c r="C359" s="3" t="str">
        <f>HYPERLINK("https://springer.com/10198")</f>
        <v>https://springer.com/10198</v>
      </c>
      <c r="D359" s="2" t="s">
        <v>739</v>
      </c>
      <c r="E359" s="2" t="s">
        <v>8</v>
      </c>
    </row>
    <row r="360" spans="1:5" ht="12.75" customHeight="1" x14ac:dyDescent="0.3">
      <c r="A360" s="2" t="s">
        <v>740</v>
      </c>
      <c r="B360" s="2" t="s">
        <v>6</v>
      </c>
      <c r="C360" s="3" t="str">
        <f>HYPERLINK("https://springer.com/10201")</f>
        <v>https://springer.com/10201</v>
      </c>
      <c r="D360" s="2" t="s">
        <v>741</v>
      </c>
      <c r="E360" s="2" t="s">
        <v>8</v>
      </c>
    </row>
    <row r="361" spans="1:5" ht="12.75" customHeight="1" x14ac:dyDescent="0.3">
      <c r="A361" s="2" t="s">
        <v>742</v>
      </c>
      <c r="B361" s="2" t="s">
        <v>151</v>
      </c>
      <c r="C361" s="3" t="str">
        <f>HYPERLINK("https://springer.com/10203")</f>
        <v>https://springer.com/10203</v>
      </c>
      <c r="D361" s="2" t="s">
        <v>743</v>
      </c>
      <c r="E361" s="2" t="s">
        <v>8</v>
      </c>
    </row>
    <row r="362" spans="1:5" ht="12.75" customHeight="1" x14ac:dyDescent="0.3">
      <c r="A362" s="2" t="s">
        <v>744</v>
      </c>
      <c r="B362" s="2" t="s">
        <v>63</v>
      </c>
      <c r="C362" s="3" t="str">
        <f>HYPERLINK("https://springer.com/10207")</f>
        <v>https://springer.com/10207</v>
      </c>
      <c r="D362" s="2" t="s">
        <v>745</v>
      </c>
      <c r="E362" s="2" t="s">
        <v>8</v>
      </c>
    </row>
    <row r="363" spans="1:5" ht="12.75" customHeight="1" x14ac:dyDescent="0.3">
      <c r="A363" s="2" t="s">
        <v>746</v>
      </c>
      <c r="B363" s="2" t="s">
        <v>10</v>
      </c>
      <c r="C363" s="3" t="str">
        <f>HYPERLINK("https://springer.com/10208")</f>
        <v>https://springer.com/10208</v>
      </c>
      <c r="D363" s="2" t="s">
        <v>747</v>
      </c>
      <c r="E363" s="2" t="s">
        <v>8</v>
      </c>
    </row>
    <row r="364" spans="1:5" ht="12.75" customHeight="1" x14ac:dyDescent="0.3">
      <c r="A364" s="2" t="s">
        <v>748</v>
      </c>
      <c r="B364" s="2" t="s">
        <v>63</v>
      </c>
      <c r="C364" s="3" t="str">
        <f>HYPERLINK("https://springer.com/10209")</f>
        <v>https://springer.com/10209</v>
      </c>
      <c r="D364" s="2" t="s">
        <v>749</v>
      </c>
      <c r="E364" s="2" t="s">
        <v>8</v>
      </c>
    </row>
    <row r="365" spans="1:5" ht="12.75" customHeight="1" x14ac:dyDescent="0.3">
      <c r="A365" s="2" t="s">
        <v>750</v>
      </c>
      <c r="B365" s="2" t="s">
        <v>6</v>
      </c>
      <c r="C365" s="3" t="str">
        <f>HYPERLINK("https://springer.com/10211")</f>
        <v>https://springer.com/10211</v>
      </c>
      <c r="D365" s="2" t="s">
        <v>751</v>
      </c>
      <c r="E365" s="2" t="s">
        <v>8</v>
      </c>
    </row>
    <row r="366" spans="1:5" ht="12.75" customHeight="1" x14ac:dyDescent="0.3">
      <c r="A366" s="2" t="s">
        <v>752</v>
      </c>
      <c r="B366" s="2" t="s">
        <v>753</v>
      </c>
      <c r="C366" s="3" t="str">
        <f>HYPERLINK("https://springer.com/10212")</f>
        <v>https://springer.com/10212</v>
      </c>
      <c r="D366" s="2" t="s">
        <v>754</v>
      </c>
      <c r="E366" s="2" t="s">
        <v>8</v>
      </c>
    </row>
    <row r="367" spans="1:5" ht="12.75" customHeight="1" x14ac:dyDescent="0.3">
      <c r="A367" s="2" t="s">
        <v>755</v>
      </c>
      <c r="B367" s="2" t="s">
        <v>6</v>
      </c>
      <c r="C367" s="3" t="str">
        <f>HYPERLINK("https://springer.com/10228")</f>
        <v>https://springer.com/10228</v>
      </c>
      <c r="D367" s="2" t="s">
        <v>756</v>
      </c>
      <c r="E367" s="2" t="s">
        <v>8</v>
      </c>
    </row>
    <row r="368" spans="1:5" ht="12.75" customHeight="1" x14ac:dyDescent="0.3">
      <c r="A368" s="2" t="s">
        <v>757</v>
      </c>
      <c r="B368" s="2" t="s">
        <v>26</v>
      </c>
      <c r="C368" s="3" t="str">
        <f>HYPERLINK("https://springer.com/10230")</f>
        <v>https://springer.com/10230</v>
      </c>
      <c r="D368" s="2" t="s">
        <v>758</v>
      </c>
      <c r="E368" s="2" t="s">
        <v>8</v>
      </c>
    </row>
    <row r="369" spans="1:5" ht="12.75" customHeight="1" x14ac:dyDescent="0.3">
      <c r="A369" s="2" t="s">
        <v>759</v>
      </c>
      <c r="B369" s="2" t="s">
        <v>10</v>
      </c>
      <c r="C369" s="3" t="str">
        <f>HYPERLINK("https://springer.com/10231")</f>
        <v>https://springer.com/10231</v>
      </c>
      <c r="D369" s="2" t="s">
        <v>760</v>
      </c>
      <c r="E369" s="2" t="s">
        <v>8</v>
      </c>
    </row>
    <row r="370" spans="1:5" ht="12.75" customHeight="1" x14ac:dyDescent="0.3">
      <c r="A370" s="2" t="s">
        <v>761</v>
      </c>
      <c r="B370" s="2" t="s">
        <v>26</v>
      </c>
      <c r="C370" s="3" t="str">
        <f>HYPERLINK("https://springer.com/10236")</f>
        <v>https://springer.com/10236</v>
      </c>
      <c r="D370" s="2" t="s">
        <v>762</v>
      </c>
      <c r="E370" s="2" t="s">
        <v>8</v>
      </c>
    </row>
    <row r="371" spans="1:5" ht="12.75" customHeight="1" x14ac:dyDescent="0.3">
      <c r="A371" s="2" t="s">
        <v>763</v>
      </c>
      <c r="B371" s="2" t="s">
        <v>56</v>
      </c>
      <c r="C371" s="3" t="str">
        <f>HYPERLINK("https://springer.com/10237")</f>
        <v>https://springer.com/10237</v>
      </c>
      <c r="D371" s="2" t="s">
        <v>764</v>
      </c>
      <c r="E371" s="2" t="s">
        <v>8</v>
      </c>
    </row>
    <row r="372" spans="1:5" ht="12.75" customHeight="1" x14ac:dyDescent="0.3">
      <c r="A372" s="2" t="s">
        <v>765</v>
      </c>
      <c r="B372" s="2" t="s">
        <v>10</v>
      </c>
      <c r="C372" s="3" t="str">
        <f>HYPERLINK("https://springer.com/10255")</f>
        <v>https://springer.com/10255</v>
      </c>
      <c r="D372" s="2" t="s">
        <v>766</v>
      </c>
      <c r="E372" s="2" t="s">
        <v>8</v>
      </c>
    </row>
    <row r="373" spans="1:5" ht="12.75" customHeight="1" x14ac:dyDescent="0.3">
      <c r="A373" s="2" t="s">
        <v>767</v>
      </c>
      <c r="B373" s="2" t="s">
        <v>181</v>
      </c>
      <c r="C373" s="3" t="str">
        <f>HYPERLINK("https://springer.com/10257")</f>
        <v>https://springer.com/10257</v>
      </c>
      <c r="D373" s="2" t="s">
        <v>768</v>
      </c>
      <c r="E373" s="2" t="s">
        <v>8</v>
      </c>
    </row>
    <row r="374" spans="1:5" ht="12.75" customHeight="1" x14ac:dyDescent="0.3">
      <c r="A374" s="2" t="s">
        <v>769</v>
      </c>
      <c r="B374" s="2" t="s">
        <v>151</v>
      </c>
      <c r="C374" s="3" t="str">
        <f>HYPERLINK("https://springer.com/10258")</f>
        <v>https://springer.com/10258</v>
      </c>
      <c r="D374" s="2" t="s">
        <v>770</v>
      </c>
      <c r="E374" s="2" t="s">
        <v>8</v>
      </c>
    </row>
    <row r="375" spans="1:5" ht="12.75" customHeight="1" x14ac:dyDescent="0.3">
      <c r="A375" s="2" t="s">
        <v>771</v>
      </c>
      <c r="B375" s="2" t="s">
        <v>170</v>
      </c>
      <c r="C375" s="3" t="str">
        <f>HYPERLINK("https://springer.com/10260")</f>
        <v>https://springer.com/10260</v>
      </c>
      <c r="D375" s="2" t="s">
        <v>772</v>
      </c>
      <c r="E375" s="2" t="s">
        <v>8</v>
      </c>
    </row>
    <row r="376" spans="1:5" ht="12.75" customHeight="1" x14ac:dyDescent="0.3">
      <c r="A376" s="2" t="s">
        <v>773</v>
      </c>
      <c r="B376" s="2" t="s">
        <v>6</v>
      </c>
      <c r="C376" s="3" t="str">
        <f>HYPERLINK("https://springer.com/10265")</f>
        <v>https://springer.com/10265</v>
      </c>
      <c r="D376" s="2" t="s">
        <v>774</v>
      </c>
      <c r="E376" s="2" t="s">
        <v>8</v>
      </c>
    </row>
    <row r="377" spans="1:5" ht="12.75" customHeight="1" x14ac:dyDescent="0.3">
      <c r="A377" s="2" t="s">
        <v>775</v>
      </c>
      <c r="B377" s="2" t="s">
        <v>82</v>
      </c>
      <c r="C377" s="3" t="str">
        <f>HYPERLINK("https://springer.com/10266")</f>
        <v>https://springer.com/10266</v>
      </c>
      <c r="D377" s="2" t="s">
        <v>776</v>
      </c>
      <c r="E377" s="2" t="s">
        <v>8</v>
      </c>
    </row>
    <row r="378" spans="1:5" ht="12.75" customHeight="1" x14ac:dyDescent="0.3">
      <c r="A378" s="2" t="s">
        <v>777</v>
      </c>
      <c r="B378" s="2" t="s">
        <v>63</v>
      </c>
      <c r="C378" s="3" t="str">
        <f>HYPERLINK("https://springer.com/10270")</f>
        <v>https://springer.com/10270</v>
      </c>
      <c r="D378" s="2" t="s">
        <v>778</v>
      </c>
      <c r="E378" s="2" t="s">
        <v>8</v>
      </c>
    </row>
    <row r="379" spans="1:5" ht="12.75" customHeight="1" x14ac:dyDescent="0.3">
      <c r="A379" s="2" t="s">
        <v>779</v>
      </c>
      <c r="B379" s="2" t="s">
        <v>78</v>
      </c>
      <c r="C379" s="3" t="str">
        <f>HYPERLINK("https://springer.com/10278")</f>
        <v>https://springer.com/10278</v>
      </c>
      <c r="D379" s="2" t="s">
        <v>780</v>
      </c>
      <c r="E379" s="2" t="s">
        <v>8</v>
      </c>
    </row>
    <row r="380" spans="1:5" ht="12.75" customHeight="1" x14ac:dyDescent="0.3">
      <c r="A380" s="2" t="s">
        <v>781</v>
      </c>
      <c r="B380" s="2" t="s">
        <v>78</v>
      </c>
      <c r="C380" s="3" t="str">
        <f>HYPERLINK("https://springer.com/10286")</f>
        <v>https://springer.com/10286</v>
      </c>
      <c r="D380" s="2" t="s">
        <v>782</v>
      </c>
      <c r="E380" s="2" t="s">
        <v>8</v>
      </c>
    </row>
    <row r="381" spans="1:5" ht="12.75" customHeight="1" x14ac:dyDescent="0.3">
      <c r="A381" s="2" t="s">
        <v>783</v>
      </c>
      <c r="B381" s="2" t="s">
        <v>181</v>
      </c>
      <c r="C381" s="3" t="str">
        <f>HYPERLINK("https://springer.com/10287")</f>
        <v>https://springer.com/10287</v>
      </c>
      <c r="D381" s="2" t="s">
        <v>784</v>
      </c>
      <c r="E381" s="2" t="s">
        <v>8</v>
      </c>
    </row>
    <row r="382" spans="1:5" ht="12.75" customHeight="1" x14ac:dyDescent="0.3">
      <c r="A382" s="2" t="s">
        <v>785</v>
      </c>
      <c r="B382" s="2" t="s">
        <v>181</v>
      </c>
      <c r="C382" s="3" t="str">
        <f>HYPERLINK("https://springer.com/10288")</f>
        <v>https://springer.com/10288</v>
      </c>
      <c r="D382" s="2" t="s">
        <v>786</v>
      </c>
      <c r="E382" s="2" t="s">
        <v>8</v>
      </c>
    </row>
    <row r="383" spans="1:5" ht="12.75" customHeight="1" x14ac:dyDescent="0.3">
      <c r="A383" s="2" t="s">
        <v>787</v>
      </c>
      <c r="B383" s="2" t="s">
        <v>151</v>
      </c>
      <c r="C383" s="3" t="str">
        <f>HYPERLINK("https://springer.com/10290")</f>
        <v>https://springer.com/10290</v>
      </c>
      <c r="D383" s="2" t="s">
        <v>788</v>
      </c>
      <c r="E383" s="2" t="s">
        <v>8</v>
      </c>
    </row>
    <row r="384" spans="1:5" ht="12.75" customHeight="1" x14ac:dyDescent="0.3">
      <c r="A384" s="2" t="s">
        <v>789</v>
      </c>
      <c r="B384" s="2" t="s">
        <v>26</v>
      </c>
      <c r="C384" s="3" t="str">
        <f>HYPERLINK("https://springer.com/10291")</f>
        <v>https://springer.com/10291</v>
      </c>
      <c r="D384" s="2" t="s">
        <v>790</v>
      </c>
      <c r="E384" s="2" t="s">
        <v>8</v>
      </c>
    </row>
    <row r="385" spans="1:5" ht="12.75" customHeight="1" x14ac:dyDescent="0.3">
      <c r="A385" s="2" t="s">
        <v>791</v>
      </c>
      <c r="B385" s="2" t="s">
        <v>78</v>
      </c>
      <c r="C385" s="3" t="str">
        <f>HYPERLINK("https://springer.com/10304")</f>
        <v>https://springer.com/10304</v>
      </c>
      <c r="D385" s="2" t="s">
        <v>792</v>
      </c>
      <c r="E385" s="2" t="s">
        <v>8</v>
      </c>
    </row>
    <row r="386" spans="1:5" ht="12.75" customHeight="1" x14ac:dyDescent="0.3">
      <c r="A386" s="2" t="s">
        <v>793</v>
      </c>
      <c r="B386" s="2" t="s">
        <v>794</v>
      </c>
      <c r="C386" s="3" t="str">
        <f>HYPERLINK("https://springer.com/10308")</f>
        <v>https://springer.com/10308</v>
      </c>
      <c r="D386" s="2" t="s">
        <v>795</v>
      </c>
      <c r="E386" s="2" t="s">
        <v>8</v>
      </c>
    </row>
    <row r="387" spans="1:5" ht="12.75" customHeight="1" x14ac:dyDescent="0.3">
      <c r="A387" s="2" t="s">
        <v>796</v>
      </c>
      <c r="B387" s="2" t="s">
        <v>78</v>
      </c>
      <c r="C387" s="3" t="str">
        <f>HYPERLINK("https://springer.com/10309")</f>
        <v>https://springer.com/10309</v>
      </c>
      <c r="D387" s="2" t="s">
        <v>797</v>
      </c>
      <c r="E387" s="2" t="s">
        <v>8</v>
      </c>
    </row>
    <row r="388" spans="1:5" ht="12.75" customHeight="1" x14ac:dyDescent="0.3">
      <c r="A388" s="2" t="s">
        <v>798</v>
      </c>
      <c r="B388" s="2" t="s">
        <v>133</v>
      </c>
      <c r="C388" s="3" t="str">
        <f>HYPERLINK("https://springer.com/10311")</f>
        <v>https://springer.com/10311</v>
      </c>
      <c r="D388" s="2" t="s">
        <v>799</v>
      </c>
      <c r="E388" s="2" t="s">
        <v>8</v>
      </c>
    </row>
    <row r="389" spans="1:5" ht="12.75" customHeight="1" x14ac:dyDescent="0.3">
      <c r="A389" s="2" t="s">
        <v>800</v>
      </c>
      <c r="B389" s="2" t="s">
        <v>6</v>
      </c>
      <c r="C389" s="3" t="str">
        <f>HYPERLINK("https://springer.com/10327")</f>
        <v>https://springer.com/10327</v>
      </c>
      <c r="D389" s="2" t="s">
        <v>801</v>
      </c>
      <c r="E389" s="2" t="s">
        <v>8</v>
      </c>
    </row>
    <row r="390" spans="1:5" ht="12.75" customHeight="1" x14ac:dyDescent="0.3">
      <c r="A390" s="2" t="s">
        <v>802</v>
      </c>
      <c r="B390" s="2" t="s">
        <v>6</v>
      </c>
      <c r="C390" s="3" t="str">
        <f>HYPERLINK("https://springer.com/10329")</f>
        <v>https://springer.com/10329</v>
      </c>
      <c r="D390" s="2" t="s">
        <v>803</v>
      </c>
      <c r="E390" s="2" t="s">
        <v>8</v>
      </c>
    </row>
    <row r="391" spans="1:5" ht="12.75" customHeight="1" x14ac:dyDescent="0.3">
      <c r="A391" s="2" t="s">
        <v>804</v>
      </c>
      <c r="B391" s="2" t="s">
        <v>6</v>
      </c>
      <c r="C391" s="3" t="str">
        <f>HYPERLINK("https://springer.com/10333")</f>
        <v>https://springer.com/10333</v>
      </c>
      <c r="D391" s="2" t="s">
        <v>805</v>
      </c>
      <c r="E391" s="2" t="s">
        <v>8</v>
      </c>
    </row>
    <row r="392" spans="1:5" ht="12.75" customHeight="1" x14ac:dyDescent="0.3">
      <c r="A392" s="2" t="s">
        <v>806</v>
      </c>
      <c r="B392" s="2" t="s">
        <v>78</v>
      </c>
      <c r="C392" s="3" t="str">
        <f>HYPERLINK("https://springer.com/10334")</f>
        <v>https://springer.com/10334</v>
      </c>
      <c r="D392" s="2" t="s">
        <v>807</v>
      </c>
      <c r="E392" s="2" t="s">
        <v>8</v>
      </c>
    </row>
    <row r="393" spans="1:5" ht="12.75" customHeight="1" x14ac:dyDescent="0.3">
      <c r="A393" s="2" t="s">
        <v>808</v>
      </c>
      <c r="B393" s="2" t="s">
        <v>6</v>
      </c>
      <c r="C393" s="3" t="str">
        <f>HYPERLINK("https://springer.com/10336")</f>
        <v>https://springer.com/10336</v>
      </c>
      <c r="D393" s="2" t="s">
        <v>809</v>
      </c>
      <c r="E393" s="2" t="s">
        <v>8</v>
      </c>
    </row>
    <row r="394" spans="1:5" ht="12.75" customHeight="1" x14ac:dyDescent="0.3">
      <c r="A394" s="2" t="s">
        <v>810</v>
      </c>
      <c r="B394" s="2" t="s">
        <v>218</v>
      </c>
      <c r="C394" s="3" t="str">
        <f>HYPERLINK("https://springer.com/10337")</f>
        <v>https://springer.com/10337</v>
      </c>
      <c r="D394" s="2" t="s">
        <v>811</v>
      </c>
      <c r="E394" s="2" t="s">
        <v>8</v>
      </c>
    </row>
    <row r="395" spans="1:5" ht="12.75" customHeight="1" x14ac:dyDescent="0.3">
      <c r="A395" s="2" t="s">
        <v>812</v>
      </c>
      <c r="B395" s="2" t="s">
        <v>56</v>
      </c>
      <c r="C395" s="3" t="str">
        <f>HYPERLINK("https://springer.com/10338")</f>
        <v>https://springer.com/10338</v>
      </c>
      <c r="D395" s="2" t="s">
        <v>813</v>
      </c>
      <c r="E395" s="2" t="s">
        <v>8</v>
      </c>
    </row>
    <row r="396" spans="1:5" ht="12.75" customHeight="1" x14ac:dyDescent="0.3">
      <c r="A396" s="2" t="s">
        <v>814</v>
      </c>
      <c r="B396" s="2" t="s">
        <v>20</v>
      </c>
      <c r="C396" s="3" t="str">
        <f>HYPERLINK("https://springer.com/10339")</f>
        <v>https://springer.com/10339</v>
      </c>
      <c r="D396" s="2" t="s">
        <v>815</v>
      </c>
      <c r="E396" s="2" t="s">
        <v>8</v>
      </c>
    </row>
    <row r="397" spans="1:5" ht="12.75" customHeight="1" x14ac:dyDescent="0.3">
      <c r="A397" s="2" t="s">
        <v>816</v>
      </c>
      <c r="B397" s="2" t="s">
        <v>6</v>
      </c>
      <c r="C397" s="3" t="str">
        <f>HYPERLINK("https://springer.com/10340")</f>
        <v>https://springer.com/10340</v>
      </c>
      <c r="D397" s="2" t="s">
        <v>817</v>
      </c>
      <c r="E397" s="2" t="s">
        <v>8</v>
      </c>
    </row>
    <row r="398" spans="1:5" ht="12.75" customHeight="1" x14ac:dyDescent="0.3">
      <c r="A398" s="2" t="s">
        <v>818</v>
      </c>
      <c r="B398" s="2" t="s">
        <v>6</v>
      </c>
      <c r="C398" s="3" t="str">
        <f>HYPERLINK("https://springer.com/10341")</f>
        <v>https://springer.com/10341</v>
      </c>
      <c r="D398" s="2" t="s">
        <v>819</v>
      </c>
      <c r="E398" s="2" t="s">
        <v>8</v>
      </c>
    </row>
    <row r="399" spans="1:5" ht="12.75" customHeight="1" x14ac:dyDescent="0.3">
      <c r="A399" s="2" t="s">
        <v>820</v>
      </c>
      <c r="B399" s="2" t="s">
        <v>6</v>
      </c>
      <c r="C399" s="3" t="str">
        <f>HYPERLINK("https://springer.com/10342")</f>
        <v>https://springer.com/10342</v>
      </c>
      <c r="D399" s="2" t="s">
        <v>821</v>
      </c>
      <c r="E399" s="2" t="s">
        <v>8</v>
      </c>
    </row>
    <row r="400" spans="1:5" ht="12.75" customHeight="1" x14ac:dyDescent="0.3">
      <c r="A400" s="2" t="s">
        <v>822</v>
      </c>
      <c r="B400" s="2" t="s">
        <v>6</v>
      </c>
      <c r="C400" s="3" t="str">
        <f>HYPERLINK("https://springer.com/10343")</f>
        <v>https://springer.com/10343</v>
      </c>
      <c r="D400" s="2" t="s">
        <v>823</v>
      </c>
      <c r="E400" s="2" t="s">
        <v>8</v>
      </c>
    </row>
    <row r="401" spans="1:5" ht="12.75" customHeight="1" x14ac:dyDescent="0.3">
      <c r="A401" s="2" t="s">
        <v>824</v>
      </c>
      <c r="B401" s="2" t="s">
        <v>6</v>
      </c>
      <c r="C401" s="3" t="str">
        <f>HYPERLINK("https://springer.com/10344")</f>
        <v>https://springer.com/10344</v>
      </c>
      <c r="D401" s="2" t="s">
        <v>825</v>
      </c>
      <c r="E401" s="2" t="s">
        <v>8</v>
      </c>
    </row>
    <row r="402" spans="1:5" ht="12.75" customHeight="1" x14ac:dyDescent="0.3">
      <c r="A402" s="2" t="s">
        <v>826</v>
      </c>
      <c r="B402" s="2" t="s">
        <v>26</v>
      </c>
      <c r="C402" s="3" t="str">
        <f>HYPERLINK("https://springer.com/10346")</f>
        <v>https://springer.com/10346</v>
      </c>
      <c r="D402" s="2" t="s">
        <v>827</v>
      </c>
      <c r="E402" s="2" t="s">
        <v>8</v>
      </c>
    </row>
    <row r="403" spans="1:5" ht="12.75" customHeight="1" x14ac:dyDescent="0.3">
      <c r="A403" s="2" t="s">
        <v>828</v>
      </c>
      <c r="B403" s="2" t="s">
        <v>26</v>
      </c>
      <c r="C403" s="3" t="str">
        <f>HYPERLINK("https://springer.com/10347")</f>
        <v>https://springer.com/10347</v>
      </c>
      <c r="D403" s="2" t="s">
        <v>829</v>
      </c>
      <c r="E403" s="2" t="s">
        <v>8</v>
      </c>
    </row>
    <row r="404" spans="1:5" ht="12.75" customHeight="1" x14ac:dyDescent="0.3">
      <c r="A404" s="2" t="s">
        <v>830</v>
      </c>
      <c r="B404" s="2" t="s">
        <v>78</v>
      </c>
      <c r="C404" s="3" t="str">
        <f>HYPERLINK("https://springer.com/10353")</f>
        <v>https://springer.com/10353</v>
      </c>
      <c r="D404" s="2" t="s">
        <v>831</v>
      </c>
      <c r="E404" s="2" t="s">
        <v>8</v>
      </c>
    </row>
    <row r="405" spans="1:5" ht="12.75" customHeight="1" x14ac:dyDescent="0.3">
      <c r="A405" s="2" t="s">
        <v>832</v>
      </c>
      <c r="B405" s="2" t="s">
        <v>78</v>
      </c>
      <c r="C405" s="3" t="str">
        <f>HYPERLINK("https://springer.com/10354")</f>
        <v>https://springer.com/10354</v>
      </c>
      <c r="D405" s="2" t="s">
        <v>833</v>
      </c>
      <c r="E405" s="2" t="s">
        <v>8</v>
      </c>
    </row>
    <row r="406" spans="1:5" ht="12.75" customHeight="1" x14ac:dyDescent="0.3">
      <c r="A406" s="2" t="s">
        <v>834</v>
      </c>
      <c r="B406" s="2" t="s">
        <v>347</v>
      </c>
      <c r="C406" s="3" t="str">
        <f>HYPERLINK("https://springer.com/10357")</f>
        <v>https://springer.com/10357</v>
      </c>
      <c r="D406" s="2" t="s">
        <v>835</v>
      </c>
      <c r="E406" s="2" t="s">
        <v>8</v>
      </c>
    </row>
    <row r="407" spans="1:5" ht="12.75" customHeight="1" x14ac:dyDescent="0.3">
      <c r="A407" s="2" t="s">
        <v>836</v>
      </c>
      <c r="B407" s="2" t="s">
        <v>151</v>
      </c>
      <c r="C407" s="3" t="str">
        <f>HYPERLINK("https://springer.com/10368")</f>
        <v>https://springer.com/10368</v>
      </c>
      <c r="D407" s="2" t="s">
        <v>837</v>
      </c>
      <c r="E407" s="2" t="s">
        <v>8</v>
      </c>
    </row>
    <row r="408" spans="1:5" ht="12.75" customHeight="1" x14ac:dyDescent="0.3">
      <c r="A408" s="2" t="s">
        <v>838</v>
      </c>
      <c r="B408" s="2" t="s">
        <v>78</v>
      </c>
      <c r="C408" s="3" t="str">
        <f>HYPERLINK("https://springer.com/10384")</f>
        <v>https://springer.com/10384</v>
      </c>
      <c r="D408" s="2" t="s">
        <v>839</v>
      </c>
      <c r="E408" s="2" t="s">
        <v>8</v>
      </c>
    </row>
    <row r="409" spans="1:5" ht="12.75" customHeight="1" x14ac:dyDescent="0.3">
      <c r="A409" s="2" t="s">
        <v>840</v>
      </c>
      <c r="B409" s="2" t="s">
        <v>78</v>
      </c>
      <c r="C409" s="3" t="str">
        <f>HYPERLINK("https://springer.com/10388")</f>
        <v>https://springer.com/10388</v>
      </c>
      <c r="D409" s="2" t="s">
        <v>841</v>
      </c>
      <c r="E409" s="2" t="s">
        <v>8</v>
      </c>
    </row>
    <row r="410" spans="1:5" ht="12.75" customHeight="1" x14ac:dyDescent="0.3">
      <c r="A410" s="2" t="s">
        <v>842</v>
      </c>
      <c r="B410" s="2" t="s">
        <v>78</v>
      </c>
      <c r="C410" s="3" t="str">
        <f>HYPERLINK("https://springer.com/10389")</f>
        <v>https://springer.com/10389</v>
      </c>
      <c r="D410" s="2" t="s">
        <v>843</v>
      </c>
      <c r="E410" s="2" t="s">
        <v>8</v>
      </c>
    </row>
    <row r="411" spans="1:5" ht="12.75" customHeight="1" x14ac:dyDescent="0.3">
      <c r="A411" s="2" t="s">
        <v>844</v>
      </c>
      <c r="B411" s="2" t="s">
        <v>78</v>
      </c>
      <c r="C411" s="3" t="str">
        <f>HYPERLINK("https://springer.com/10393")</f>
        <v>https://springer.com/10393</v>
      </c>
      <c r="D411" s="2" t="s">
        <v>845</v>
      </c>
      <c r="E411" s="2" t="s">
        <v>8</v>
      </c>
    </row>
    <row r="412" spans="1:5" ht="12.75" customHeight="1" x14ac:dyDescent="0.3">
      <c r="A412" s="2" t="s">
        <v>846</v>
      </c>
      <c r="B412" s="2" t="s">
        <v>78</v>
      </c>
      <c r="C412" s="3" t="str">
        <f>HYPERLINK("https://springer.com/10396")</f>
        <v>https://springer.com/10396</v>
      </c>
      <c r="D412" s="2" t="s">
        <v>847</v>
      </c>
      <c r="E412" s="2" t="s">
        <v>8</v>
      </c>
    </row>
    <row r="413" spans="1:5" ht="12.75" customHeight="1" x14ac:dyDescent="0.3">
      <c r="A413" s="2" t="s">
        <v>848</v>
      </c>
      <c r="B413" s="2" t="s">
        <v>56</v>
      </c>
      <c r="C413" s="3" t="str">
        <f>HYPERLINK("https://springer.com/10404")</f>
        <v>https://springer.com/10404</v>
      </c>
      <c r="D413" s="2" t="s">
        <v>849</v>
      </c>
      <c r="E413" s="2" t="s">
        <v>8</v>
      </c>
    </row>
    <row r="414" spans="1:5" ht="12.75" customHeight="1" x14ac:dyDescent="0.3">
      <c r="A414" s="2" t="s">
        <v>850</v>
      </c>
      <c r="B414" s="2" t="s">
        <v>78</v>
      </c>
      <c r="C414" s="3" t="str">
        <f>HYPERLINK("https://springer.com/10405")</f>
        <v>https://springer.com/10405</v>
      </c>
      <c r="D414" s="2" t="s">
        <v>851</v>
      </c>
      <c r="E414" s="2" t="s">
        <v>8</v>
      </c>
    </row>
    <row r="415" spans="1:5" ht="12.75" customHeight="1" x14ac:dyDescent="0.3">
      <c r="A415" s="2" t="s">
        <v>852</v>
      </c>
      <c r="B415" s="2" t="s">
        <v>56</v>
      </c>
      <c r="C415" s="3" t="str">
        <f>HYPERLINK("https://springer.com/10409")</f>
        <v>https://springer.com/10409</v>
      </c>
      <c r="D415" s="2" t="s">
        <v>853</v>
      </c>
      <c r="E415" s="2" t="s">
        <v>8</v>
      </c>
    </row>
    <row r="416" spans="1:5" ht="12.75" customHeight="1" x14ac:dyDescent="0.3">
      <c r="A416" s="2" t="s">
        <v>854</v>
      </c>
      <c r="B416" s="2" t="s">
        <v>78</v>
      </c>
      <c r="C416" s="3" t="str">
        <f>HYPERLINK("https://springer.com/10434")</f>
        <v>https://springer.com/10434</v>
      </c>
      <c r="D416" s="2" t="s">
        <v>855</v>
      </c>
      <c r="E416" s="2" t="s">
        <v>8</v>
      </c>
    </row>
    <row r="417" spans="1:5" ht="12.75" customHeight="1" x14ac:dyDescent="0.3">
      <c r="A417" s="2" t="s">
        <v>856</v>
      </c>
      <c r="B417" s="2" t="s">
        <v>857</v>
      </c>
      <c r="C417" s="3" t="str">
        <f>HYPERLINK("https://springer.com/10436")</f>
        <v>https://springer.com/10436</v>
      </c>
      <c r="D417" s="2" t="s">
        <v>858</v>
      </c>
      <c r="E417" s="2" t="s">
        <v>8</v>
      </c>
    </row>
    <row r="418" spans="1:5" ht="12.75" customHeight="1" x14ac:dyDescent="0.3">
      <c r="A418" s="2" t="s">
        <v>859</v>
      </c>
      <c r="B418" s="2" t="s">
        <v>794</v>
      </c>
      <c r="C418" s="3" t="str">
        <f>HYPERLINK("https://springer.com/10437")</f>
        <v>https://springer.com/10437</v>
      </c>
      <c r="D418" s="2" t="s">
        <v>860</v>
      </c>
      <c r="E418" s="2" t="s">
        <v>8</v>
      </c>
    </row>
    <row r="419" spans="1:5" ht="12.75" customHeight="1" x14ac:dyDescent="0.3">
      <c r="A419" s="2" t="s">
        <v>861</v>
      </c>
      <c r="B419" s="2" t="s">
        <v>6</v>
      </c>
      <c r="C419" s="3" t="str">
        <f>HYPERLINK("https://springer.com/10438")</f>
        <v>https://springer.com/10438</v>
      </c>
      <c r="D419" s="2" t="s">
        <v>862</v>
      </c>
      <c r="E419" s="2"/>
    </row>
    <row r="420" spans="1:5" ht="12.75" customHeight="1" x14ac:dyDescent="0.3">
      <c r="A420" s="2" t="s">
        <v>863</v>
      </c>
      <c r="B420" s="2" t="s">
        <v>20</v>
      </c>
      <c r="C420" s="3" t="str">
        <f>HYPERLINK("https://springer.com/10439")</f>
        <v>https://springer.com/10439</v>
      </c>
      <c r="D420" s="2" t="s">
        <v>864</v>
      </c>
      <c r="E420" s="2" t="s">
        <v>8</v>
      </c>
    </row>
    <row r="421" spans="1:5" ht="12.75" customHeight="1" x14ac:dyDescent="0.3">
      <c r="A421" s="2" t="s">
        <v>865</v>
      </c>
      <c r="B421" s="2" t="s">
        <v>10</v>
      </c>
      <c r="C421" s="3" t="str">
        <f>HYPERLINK("https://springer.com/10440")</f>
        <v>https://springer.com/10440</v>
      </c>
      <c r="D421" s="2" t="s">
        <v>866</v>
      </c>
      <c r="E421" s="2" t="s">
        <v>8</v>
      </c>
    </row>
    <row r="422" spans="1:5" ht="12.75" customHeight="1" x14ac:dyDescent="0.3">
      <c r="A422" s="2" t="s">
        <v>867</v>
      </c>
      <c r="B422" s="2" t="s">
        <v>868</v>
      </c>
      <c r="C422" s="3" t="str">
        <f>HYPERLINK("https://springer.com/10441")</f>
        <v>https://springer.com/10441</v>
      </c>
      <c r="D422" s="2" t="s">
        <v>869</v>
      </c>
      <c r="E422" s="2" t="s">
        <v>8</v>
      </c>
    </row>
    <row r="423" spans="1:5" ht="12.75" customHeight="1" x14ac:dyDescent="0.3">
      <c r="A423" s="2" t="s">
        <v>870</v>
      </c>
      <c r="B423" s="2" t="s">
        <v>396</v>
      </c>
      <c r="C423" s="3" t="str">
        <f>HYPERLINK("https://springer.com/10443")</f>
        <v>https://springer.com/10443</v>
      </c>
      <c r="D423" s="2" t="s">
        <v>871</v>
      </c>
      <c r="E423" s="2" t="s">
        <v>8</v>
      </c>
    </row>
    <row r="424" spans="1:5" ht="12.75" customHeight="1" x14ac:dyDescent="0.3">
      <c r="A424" s="2" t="s">
        <v>872</v>
      </c>
      <c r="B424" s="2" t="s">
        <v>10</v>
      </c>
      <c r="C424" s="3" t="str">
        <f>HYPERLINK("https://springer.com/10444")</f>
        <v>https://springer.com/10444</v>
      </c>
      <c r="D424" s="2" t="s">
        <v>873</v>
      </c>
      <c r="E424" s="2" t="s">
        <v>8</v>
      </c>
    </row>
    <row r="425" spans="1:5" ht="12.75" customHeight="1" x14ac:dyDescent="0.3">
      <c r="A425" s="2" t="s">
        <v>874</v>
      </c>
      <c r="B425" s="2" t="s">
        <v>443</v>
      </c>
      <c r="C425" s="3" t="str">
        <f>HYPERLINK("https://springer.com/10447")</f>
        <v>https://springer.com/10447</v>
      </c>
      <c r="D425" s="2" t="s">
        <v>875</v>
      </c>
      <c r="E425" s="2" t="s">
        <v>8</v>
      </c>
    </row>
    <row r="426" spans="1:5" ht="12.75" customHeight="1" x14ac:dyDescent="0.3">
      <c r="A426" s="2" t="s">
        <v>876</v>
      </c>
      <c r="B426" s="2" t="s">
        <v>218</v>
      </c>
      <c r="C426" s="3" t="str">
        <f>HYPERLINK("https://springer.com/10450")</f>
        <v>https://springer.com/10450</v>
      </c>
      <c r="D426" s="2" t="s">
        <v>877</v>
      </c>
      <c r="E426" s="2" t="s">
        <v>8</v>
      </c>
    </row>
    <row r="427" spans="1:5" ht="12.75" customHeight="1" x14ac:dyDescent="0.3">
      <c r="A427" s="2" t="s">
        <v>878</v>
      </c>
      <c r="B427" s="2" t="s">
        <v>6</v>
      </c>
      <c r="C427" s="3" t="str">
        <f>HYPERLINK("https://springer.com/10452")</f>
        <v>https://springer.com/10452</v>
      </c>
      <c r="D427" s="2" t="s">
        <v>879</v>
      </c>
      <c r="E427" s="2" t="s">
        <v>8</v>
      </c>
    </row>
    <row r="428" spans="1:5" ht="12.75" customHeight="1" x14ac:dyDescent="0.3">
      <c r="A428" s="2" t="s">
        <v>880</v>
      </c>
      <c r="B428" s="2" t="s">
        <v>133</v>
      </c>
      <c r="C428" s="3" t="str">
        <f>HYPERLINK("https://springer.com/10453")</f>
        <v>https://springer.com/10453</v>
      </c>
      <c r="D428" s="2" t="s">
        <v>881</v>
      </c>
      <c r="E428" s="2" t="s">
        <v>8</v>
      </c>
    </row>
    <row r="429" spans="1:5" ht="12.75" customHeight="1" x14ac:dyDescent="0.3">
      <c r="A429" s="2" t="s">
        <v>882</v>
      </c>
      <c r="B429" s="2" t="s">
        <v>10</v>
      </c>
      <c r="C429" s="3" t="str">
        <f>HYPERLINK("https://springer.com/10455")</f>
        <v>https://springer.com/10455</v>
      </c>
      <c r="D429" s="2" t="s">
        <v>883</v>
      </c>
      <c r="E429" s="2" t="s">
        <v>8</v>
      </c>
    </row>
    <row r="430" spans="1:5" ht="12.75" customHeight="1" x14ac:dyDescent="0.3">
      <c r="A430" s="2" t="s">
        <v>884</v>
      </c>
      <c r="B430" s="2" t="s">
        <v>20</v>
      </c>
      <c r="C430" s="3" t="str">
        <f>HYPERLINK("https://springer.com/10456")</f>
        <v>https://springer.com/10456</v>
      </c>
      <c r="D430" s="2" t="s">
        <v>885</v>
      </c>
      <c r="E430" s="2" t="s">
        <v>8</v>
      </c>
    </row>
    <row r="431" spans="1:5" ht="12.75" customHeight="1" x14ac:dyDescent="0.3">
      <c r="A431" s="2" t="s">
        <v>886</v>
      </c>
      <c r="B431" s="2" t="s">
        <v>6</v>
      </c>
      <c r="C431" s="3" t="str">
        <f>HYPERLINK("https://springer.com/10457")</f>
        <v>https://springer.com/10457</v>
      </c>
      <c r="D431" s="2" t="s">
        <v>887</v>
      </c>
      <c r="E431" s="2" t="s">
        <v>8</v>
      </c>
    </row>
    <row r="432" spans="1:5" ht="12.75" customHeight="1" x14ac:dyDescent="0.3">
      <c r="A432" s="2" t="s">
        <v>888</v>
      </c>
      <c r="B432" s="2" t="s">
        <v>63</v>
      </c>
      <c r="C432" s="3" t="str">
        <f>HYPERLINK("https://springer.com/10458")</f>
        <v>https://springer.com/10458</v>
      </c>
      <c r="D432" s="2" t="s">
        <v>889</v>
      </c>
      <c r="E432" s="2" t="s">
        <v>8</v>
      </c>
    </row>
    <row r="433" spans="1:5" ht="12.75" customHeight="1" x14ac:dyDescent="0.3">
      <c r="A433" s="2" t="s">
        <v>890</v>
      </c>
      <c r="B433" s="2" t="s">
        <v>753</v>
      </c>
      <c r="C433" s="3" t="str">
        <f>HYPERLINK("https://springer.com/10459")</f>
        <v>https://springer.com/10459</v>
      </c>
      <c r="D433" s="2" t="s">
        <v>891</v>
      </c>
      <c r="E433" s="2" t="s">
        <v>8</v>
      </c>
    </row>
    <row r="434" spans="1:5" ht="12.75" customHeight="1" x14ac:dyDescent="0.3">
      <c r="A434" s="2" t="s">
        <v>892</v>
      </c>
      <c r="B434" s="2" t="s">
        <v>868</v>
      </c>
      <c r="C434" s="3" t="str">
        <f>HYPERLINK("https://springer.com/10460")</f>
        <v>https://springer.com/10460</v>
      </c>
      <c r="D434" s="2" t="s">
        <v>893</v>
      </c>
      <c r="E434" s="2" t="s">
        <v>8</v>
      </c>
    </row>
    <row r="435" spans="1:5" ht="12.75" customHeight="1" x14ac:dyDescent="0.3">
      <c r="A435" s="2" t="s">
        <v>894</v>
      </c>
      <c r="B435" s="2" t="s">
        <v>78</v>
      </c>
      <c r="C435" s="3" t="str">
        <f>HYPERLINK("https://springer.com/10461")</f>
        <v>https://springer.com/10461</v>
      </c>
      <c r="D435" s="2" t="s">
        <v>895</v>
      </c>
      <c r="E435" s="2" t="s">
        <v>8</v>
      </c>
    </row>
    <row r="436" spans="1:5" ht="12.75" customHeight="1" x14ac:dyDescent="0.3">
      <c r="A436" s="2" t="s">
        <v>896</v>
      </c>
      <c r="B436" s="2" t="s">
        <v>443</v>
      </c>
      <c r="C436" s="3" t="str">
        <f>HYPERLINK("https://springer.com/10465")</f>
        <v>https://springer.com/10465</v>
      </c>
      <c r="D436" s="2" t="s">
        <v>897</v>
      </c>
      <c r="E436" s="2" t="s">
        <v>8</v>
      </c>
    </row>
    <row r="437" spans="1:5" ht="12.75" customHeight="1" x14ac:dyDescent="0.3">
      <c r="A437" s="2" t="s">
        <v>898</v>
      </c>
      <c r="B437" s="2" t="s">
        <v>10</v>
      </c>
      <c r="C437" s="3" t="str">
        <f>HYPERLINK("https://springer.com/10468")</f>
        <v>https://springer.com/10468</v>
      </c>
      <c r="D437" s="2" t="s">
        <v>899</v>
      </c>
      <c r="E437" s="2" t="s">
        <v>8</v>
      </c>
    </row>
    <row r="438" spans="1:5" ht="12.75" customHeight="1" x14ac:dyDescent="0.3">
      <c r="A438" s="2" t="s">
        <v>900</v>
      </c>
      <c r="B438" s="2" t="s">
        <v>10</v>
      </c>
      <c r="C438" s="3" t="str">
        <f>HYPERLINK("https://springer.com/10469")</f>
        <v>https://springer.com/10469</v>
      </c>
      <c r="D438" s="2" t="s">
        <v>901</v>
      </c>
      <c r="E438" s="2" t="s">
        <v>8</v>
      </c>
    </row>
    <row r="439" spans="1:5" ht="12.75" customHeight="1" x14ac:dyDescent="0.3">
      <c r="A439" s="2" t="s">
        <v>902</v>
      </c>
      <c r="B439" s="2" t="s">
        <v>56</v>
      </c>
      <c r="C439" s="3" t="str">
        <f>HYPERLINK("https://springer.com/10470")</f>
        <v>https://springer.com/10470</v>
      </c>
      <c r="D439" s="2" t="s">
        <v>903</v>
      </c>
      <c r="E439" s="2" t="s">
        <v>8</v>
      </c>
    </row>
    <row r="440" spans="1:5" ht="12.75" customHeight="1" x14ac:dyDescent="0.3">
      <c r="A440" s="2" t="s">
        <v>904</v>
      </c>
      <c r="B440" s="2" t="s">
        <v>63</v>
      </c>
      <c r="C440" s="3" t="str">
        <f>HYPERLINK("https://springer.com/10472")</f>
        <v>https://springer.com/10472</v>
      </c>
      <c r="D440" s="2" t="s">
        <v>905</v>
      </c>
      <c r="E440" s="2" t="s">
        <v>8</v>
      </c>
    </row>
    <row r="441" spans="1:5" ht="12.75" customHeight="1" x14ac:dyDescent="0.3">
      <c r="A441" s="2" t="s">
        <v>906</v>
      </c>
      <c r="B441" s="2" t="s">
        <v>10</v>
      </c>
      <c r="C441" s="3" t="str">
        <f>HYPERLINK("https://springer.com/10473")</f>
        <v>https://springer.com/10473</v>
      </c>
      <c r="D441" s="2" t="s">
        <v>907</v>
      </c>
      <c r="E441" s="2" t="s">
        <v>8</v>
      </c>
    </row>
    <row r="442" spans="1:5" ht="12.75" customHeight="1" x14ac:dyDescent="0.3">
      <c r="A442" s="2" t="s">
        <v>908</v>
      </c>
      <c r="B442" s="2" t="s">
        <v>10</v>
      </c>
      <c r="C442" s="3" t="str">
        <f>HYPERLINK("https://springer.com/10474")</f>
        <v>https://springer.com/10474</v>
      </c>
      <c r="D442" s="2" t="s">
        <v>909</v>
      </c>
      <c r="E442" s="2" t="s">
        <v>8</v>
      </c>
    </row>
    <row r="443" spans="1:5" ht="12.75" customHeight="1" x14ac:dyDescent="0.3">
      <c r="A443" s="2" t="s">
        <v>910</v>
      </c>
      <c r="B443" s="2" t="s">
        <v>10</v>
      </c>
      <c r="C443" s="3" t="str">
        <f>HYPERLINK("https://springer.com/10476")</f>
        <v>https://springer.com/10476</v>
      </c>
      <c r="D443" s="2" t="s">
        <v>911</v>
      </c>
      <c r="E443" s="2" t="s">
        <v>8</v>
      </c>
    </row>
    <row r="444" spans="1:5" ht="12.75" customHeight="1" x14ac:dyDescent="0.3">
      <c r="A444" s="2" t="s">
        <v>912</v>
      </c>
      <c r="B444" s="2" t="s">
        <v>181</v>
      </c>
      <c r="C444" s="3" t="str">
        <f>HYPERLINK("https://springer.com/10479")</f>
        <v>https://springer.com/10479</v>
      </c>
      <c r="D444" s="2" t="s">
        <v>913</v>
      </c>
      <c r="E444" s="2" t="s">
        <v>8</v>
      </c>
    </row>
    <row r="445" spans="1:5" ht="12.75" customHeight="1" x14ac:dyDescent="0.3">
      <c r="A445" s="2" t="s">
        <v>914</v>
      </c>
      <c r="B445" s="2" t="s">
        <v>6</v>
      </c>
      <c r="C445" s="3" t="str">
        <f>HYPERLINK("https://springer.com/10482")</f>
        <v>https://springer.com/10482</v>
      </c>
      <c r="D445" s="2" t="s">
        <v>915</v>
      </c>
      <c r="E445" s="2" t="s">
        <v>8</v>
      </c>
    </row>
    <row r="446" spans="1:5" ht="12.75" customHeight="1" x14ac:dyDescent="0.3">
      <c r="A446" s="2" t="s">
        <v>916</v>
      </c>
      <c r="B446" s="2" t="s">
        <v>10</v>
      </c>
      <c r="C446" s="3" t="str">
        <f>HYPERLINK("https://springer.com/10483")</f>
        <v>https://springer.com/10483</v>
      </c>
      <c r="D446" s="2" t="s">
        <v>917</v>
      </c>
      <c r="E446" s="2" t="s">
        <v>8</v>
      </c>
    </row>
    <row r="447" spans="1:5" ht="12.75" customHeight="1" x14ac:dyDescent="0.3">
      <c r="A447" s="2" t="s">
        <v>918</v>
      </c>
      <c r="B447" s="2" t="s">
        <v>443</v>
      </c>
      <c r="C447" s="3" t="str">
        <f>HYPERLINK("https://springer.com/10484")</f>
        <v>https://springer.com/10484</v>
      </c>
      <c r="D447" s="2" t="s">
        <v>919</v>
      </c>
      <c r="E447" s="2" t="s">
        <v>8</v>
      </c>
    </row>
    <row r="448" spans="1:5" ht="12.75" customHeight="1" x14ac:dyDescent="0.3">
      <c r="A448" s="2" t="s">
        <v>920</v>
      </c>
      <c r="B448" s="2" t="s">
        <v>10</v>
      </c>
      <c r="C448" s="3" t="str">
        <f>HYPERLINK("https://springer.com/10485")</f>
        <v>https://springer.com/10485</v>
      </c>
      <c r="D448" s="2" t="s">
        <v>921</v>
      </c>
      <c r="E448" s="2" t="s">
        <v>8</v>
      </c>
    </row>
    <row r="449" spans="1:5" ht="12.75" customHeight="1" x14ac:dyDescent="0.3">
      <c r="A449" s="2" t="s">
        <v>922</v>
      </c>
      <c r="B449" s="2" t="s">
        <v>78</v>
      </c>
      <c r="C449" s="3" t="str">
        <f>HYPERLINK("https://springer.com/10488")</f>
        <v>https://springer.com/10488</v>
      </c>
      <c r="D449" s="2" t="s">
        <v>923</v>
      </c>
      <c r="E449" s="2" t="s">
        <v>8</v>
      </c>
    </row>
    <row r="450" spans="1:5" ht="12.75" customHeight="1" x14ac:dyDescent="0.3">
      <c r="A450" s="2" t="s">
        <v>924</v>
      </c>
      <c r="B450" s="2" t="s">
        <v>63</v>
      </c>
      <c r="C450" s="3" t="str">
        <f>HYPERLINK("https://springer.com/10489")</f>
        <v>https://springer.com/10489</v>
      </c>
      <c r="D450" s="2" t="s">
        <v>925</v>
      </c>
      <c r="E450" s="2" t="s">
        <v>8</v>
      </c>
    </row>
    <row r="451" spans="1:5" ht="12.75" customHeight="1" x14ac:dyDescent="0.3">
      <c r="A451" s="2" t="s">
        <v>926</v>
      </c>
      <c r="B451" s="2" t="s">
        <v>181</v>
      </c>
      <c r="C451" s="3" t="str">
        <f>HYPERLINK("https://springer.com/10490")</f>
        <v>https://springer.com/10490</v>
      </c>
      <c r="D451" s="2" t="s">
        <v>927</v>
      </c>
      <c r="E451" s="2" t="s">
        <v>8</v>
      </c>
    </row>
    <row r="452" spans="1:5" ht="12.75" customHeight="1" x14ac:dyDescent="0.3">
      <c r="A452" s="2" t="s">
        <v>928</v>
      </c>
      <c r="B452" s="2" t="s">
        <v>10</v>
      </c>
      <c r="C452" s="3" t="str">
        <f>HYPERLINK("https://springer.com/10492")</f>
        <v>https://springer.com/10492</v>
      </c>
      <c r="D452" s="2" t="s">
        <v>929</v>
      </c>
      <c r="E452" s="2" t="s">
        <v>8</v>
      </c>
    </row>
    <row r="453" spans="1:5" ht="12.75" customHeight="1" x14ac:dyDescent="0.3">
      <c r="A453" s="2" t="s">
        <v>930</v>
      </c>
      <c r="B453" s="2" t="s">
        <v>6</v>
      </c>
      <c r="C453" s="3" t="str">
        <f>HYPERLINK("https://springer.com/10493")</f>
        <v>https://springer.com/10493</v>
      </c>
      <c r="D453" s="2" t="s">
        <v>931</v>
      </c>
      <c r="E453" s="2" t="s">
        <v>8</v>
      </c>
    </row>
    <row r="454" spans="1:5" ht="12.75" customHeight="1" x14ac:dyDescent="0.3">
      <c r="A454" s="2" t="s">
        <v>932</v>
      </c>
      <c r="B454" s="2" t="s">
        <v>56</v>
      </c>
      <c r="C454" s="3" t="str">
        <f>HYPERLINK("https://springer.com/10494")</f>
        <v>https://springer.com/10494</v>
      </c>
      <c r="D454" s="2" t="s">
        <v>933</v>
      </c>
      <c r="E454" s="2" t="s">
        <v>8</v>
      </c>
    </row>
    <row r="455" spans="1:5" ht="12.75" customHeight="1" x14ac:dyDescent="0.3">
      <c r="A455" s="2" t="s">
        <v>934</v>
      </c>
      <c r="B455" s="2" t="s">
        <v>20</v>
      </c>
      <c r="C455" s="3" t="str">
        <f>HYPERLINK("https://springer.com/10495")</f>
        <v>https://springer.com/10495</v>
      </c>
      <c r="D455" s="2" t="s">
        <v>935</v>
      </c>
      <c r="E455" s="2" t="s">
        <v>8</v>
      </c>
    </row>
    <row r="456" spans="1:5" ht="12.75" customHeight="1" x14ac:dyDescent="0.3">
      <c r="A456" s="2" t="s">
        <v>936</v>
      </c>
      <c r="B456" s="2" t="s">
        <v>26</v>
      </c>
      <c r="C456" s="3" t="str">
        <f>HYPERLINK("https://springer.com/10498")</f>
        <v>https://springer.com/10498</v>
      </c>
      <c r="D456" s="2" t="s">
        <v>937</v>
      </c>
      <c r="E456" s="2" t="s">
        <v>8</v>
      </c>
    </row>
    <row r="457" spans="1:5" ht="12.75" customHeight="1" x14ac:dyDescent="0.3">
      <c r="A457" s="2" t="s">
        <v>938</v>
      </c>
      <c r="B457" s="2" t="s">
        <v>6</v>
      </c>
      <c r="C457" s="3" t="str">
        <f>HYPERLINK("https://springer.com/10499")</f>
        <v>https://springer.com/10499</v>
      </c>
      <c r="D457" s="2" t="s">
        <v>939</v>
      </c>
      <c r="E457" s="2" t="s">
        <v>8</v>
      </c>
    </row>
    <row r="458" spans="1:5" ht="12.75" customHeight="1" x14ac:dyDescent="0.3">
      <c r="A458" s="2" t="s">
        <v>940</v>
      </c>
      <c r="B458" s="2" t="s">
        <v>941</v>
      </c>
      <c r="C458" s="3" t="str">
        <f>HYPERLINK("https://springer.com/10502")</f>
        <v>https://springer.com/10502</v>
      </c>
      <c r="D458" s="2" t="s">
        <v>942</v>
      </c>
      <c r="E458" s="2" t="s">
        <v>8</v>
      </c>
    </row>
    <row r="459" spans="1:5" ht="12.75" customHeight="1" x14ac:dyDescent="0.3">
      <c r="A459" s="2" t="s">
        <v>943</v>
      </c>
      <c r="B459" s="2" t="s">
        <v>868</v>
      </c>
      <c r="C459" s="3" t="str">
        <f>HYPERLINK("https://springer.com/10503")</f>
        <v>https://springer.com/10503</v>
      </c>
      <c r="D459" s="2" t="s">
        <v>944</v>
      </c>
      <c r="E459" s="2" t="s">
        <v>8</v>
      </c>
    </row>
    <row r="460" spans="1:5" ht="12.75" customHeight="1" x14ac:dyDescent="0.3">
      <c r="A460" s="2" t="s">
        <v>945</v>
      </c>
      <c r="B460" s="2" t="s">
        <v>63</v>
      </c>
      <c r="C460" s="3" t="str">
        <f>HYPERLINK("https://springer.com/10506")</f>
        <v>https://springer.com/10506</v>
      </c>
      <c r="D460" s="2" t="s">
        <v>946</v>
      </c>
      <c r="E460" s="2" t="s">
        <v>8</v>
      </c>
    </row>
    <row r="461" spans="1:5" ht="12.75" customHeight="1" x14ac:dyDescent="0.3">
      <c r="A461" s="2" t="s">
        <v>947</v>
      </c>
      <c r="B461" s="2" t="s">
        <v>443</v>
      </c>
      <c r="C461" s="3" t="str">
        <f>HYPERLINK("https://springer.com/10508")</f>
        <v>https://springer.com/10508</v>
      </c>
      <c r="D461" s="2" t="s">
        <v>948</v>
      </c>
      <c r="E461" s="2" t="s">
        <v>8</v>
      </c>
    </row>
    <row r="462" spans="1:5" ht="12.75" customHeight="1" x14ac:dyDescent="0.3">
      <c r="A462" s="2" t="s">
        <v>949</v>
      </c>
      <c r="B462" s="2" t="s">
        <v>13</v>
      </c>
      <c r="C462" s="3" t="str">
        <f>HYPERLINK("https://springer.com/10509")</f>
        <v>https://springer.com/10509</v>
      </c>
      <c r="D462" s="2" t="s">
        <v>950</v>
      </c>
      <c r="E462" s="2" t="s">
        <v>8</v>
      </c>
    </row>
    <row r="463" spans="1:5" ht="12.75" customHeight="1" x14ac:dyDescent="0.3">
      <c r="A463" s="2" t="s">
        <v>951</v>
      </c>
      <c r="B463" s="2" t="s">
        <v>10</v>
      </c>
      <c r="C463" s="3" t="str">
        <f>HYPERLINK("https://springer.com/10513")</f>
        <v>https://springer.com/10513</v>
      </c>
      <c r="D463" s="2" t="s">
        <v>952</v>
      </c>
      <c r="E463" s="2"/>
    </row>
    <row r="464" spans="1:5" ht="12.75" customHeight="1" x14ac:dyDescent="0.3">
      <c r="A464" s="2" t="s">
        <v>953</v>
      </c>
      <c r="B464" s="2" t="s">
        <v>56</v>
      </c>
      <c r="C464" s="3" t="str">
        <f>HYPERLINK("https://springer.com/10514")</f>
        <v>https://springer.com/10514</v>
      </c>
      <c r="D464" s="2" t="s">
        <v>954</v>
      </c>
      <c r="E464" s="2" t="s">
        <v>8</v>
      </c>
    </row>
    <row r="465" spans="1:5" ht="12.75" customHeight="1" x14ac:dyDescent="0.3">
      <c r="A465" s="2" t="s">
        <v>955</v>
      </c>
      <c r="B465" s="2" t="s">
        <v>63</v>
      </c>
      <c r="C465" s="3" t="str">
        <f>HYPERLINK("https://springer.com/10515")</f>
        <v>https://springer.com/10515</v>
      </c>
      <c r="D465" s="2" t="s">
        <v>956</v>
      </c>
      <c r="E465" s="2" t="s">
        <v>8</v>
      </c>
    </row>
    <row r="466" spans="1:5" ht="12.75" customHeight="1" x14ac:dyDescent="0.3">
      <c r="A466" s="2" t="s">
        <v>957</v>
      </c>
      <c r="B466" s="2" t="s">
        <v>868</v>
      </c>
      <c r="C466" s="3" t="str">
        <f>HYPERLINK("https://springer.com/10516")</f>
        <v>https://springer.com/10516</v>
      </c>
      <c r="D466" s="2" t="s">
        <v>958</v>
      </c>
      <c r="E466" s="2" t="s">
        <v>8</v>
      </c>
    </row>
    <row r="467" spans="1:5" ht="12.75" customHeight="1" x14ac:dyDescent="0.3">
      <c r="A467" s="2" t="s">
        <v>959</v>
      </c>
      <c r="B467" s="2" t="s">
        <v>26</v>
      </c>
      <c r="C467" s="3" t="str">
        <f>HYPERLINK("https://springer.com/10518")</f>
        <v>https://springer.com/10518</v>
      </c>
      <c r="D467" s="2" t="s">
        <v>960</v>
      </c>
      <c r="E467" s="2" t="s">
        <v>8</v>
      </c>
    </row>
    <row r="468" spans="1:5" ht="12.75" customHeight="1" x14ac:dyDescent="0.3">
      <c r="A468" s="2" t="s">
        <v>961</v>
      </c>
      <c r="B468" s="2" t="s">
        <v>443</v>
      </c>
      <c r="C468" s="3" t="str">
        <f>HYPERLINK("https://springer.com/10519")</f>
        <v>https://springer.com/10519</v>
      </c>
      <c r="D468" s="2" t="s">
        <v>962</v>
      </c>
      <c r="E468" s="2" t="s">
        <v>8</v>
      </c>
    </row>
    <row r="469" spans="1:5" ht="12.75" customHeight="1" x14ac:dyDescent="0.3">
      <c r="A469" s="2" t="s">
        <v>963</v>
      </c>
      <c r="B469" s="2" t="s">
        <v>6</v>
      </c>
      <c r="C469" s="3" t="str">
        <f>HYPERLINK("https://springer.com/10522")</f>
        <v>https://springer.com/10522</v>
      </c>
      <c r="D469" s="2" t="s">
        <v>964</v>
      </c>
      <c r="E469" s="2" t="s">
        <v>8</v>
      </c>
    </row>
    <row r="470" spans="1:5" ht="12.75" customHeight="1" x14ac:dyDescent="0.3">
      <c r="A470" s="2" t="s">
        <v>965</v>
      </c>
      <c r="B470" s="2" t="s">
        <v>6</v>
      </c>
      <c r="C470" s="3" t="str">
        <f>HYPERLINK("https://springer.com/10525")</f>
        <v>https://springer.com/10525</v>
      </c>
      <c r="D470" s="2" t="s">
        <v>966</v>
      </c>
      <c r="E470" s="2"/>
    </row>
    <row r="471" spans="1:5" ht="12.75" customHeight="1" x14ac:dyDescent="0.3">
      <c r="A471" s="2" t="s">
        <v>967</v>
      </c>
      <c r="B471" s="2" t="s">
        <v>6</v>
      </c>
      <c r="C471" s="3" t="str">
        <f>HYPERLINK("https://springer.com/10526")</f>
        <v>https://springer.com/10526</v>
      </c>
      <c r="D471" s="2" t="s">
        <v>968</v>
      </c>
      <c r="E471" s="2" t="s">
        <v>8</v>
      </c>
    </row>
    <row r="472" spans="1:5" ht="12.75" customHeight="1" x14ac:dyDescent="0.3">
      <c r="A472" s="2" t="s">
        <v>969</v>
      </c>
      <c r="B472" s="2" t="s">
        <v>20</v>
      </c>
      <c r="C472" s="3" t="str">
        <f>HYPERLINK("https://springer.com/10528")</f>
        <v>https://springer.com/10528</v>
      </c>
      <c r="D472" s="2" t="s">
        <v>970</v>
      </c>
      <c r="E472" s="2" t="s">
        <v>8</v>
      </c>
    </row>
    <row r="473" spans="1:5" ht="12.75" customHeight="1" x14ac:dyDescent="0.3">
      <c r="A473" s="2" t="s">
        <v>971</v>
      </c>
      <c r="B473" s="2" t="s">
        <v>6</v>
      </c>
      <c r="C473" s="3" t="str">
        <f>HYPERLINK("https://springer.com/10529")</f>
        <v>https://springer.com/10529</v>
      </c>
      <c r="D473" s="2" t="s">
        <v>972</v>
      </c>
      <c r="E473" s="2" t="s">
        <v>8</v>
      </c>
    </row>
    <row r="474" spans="1:5" ht="12.75" customHeight="1" x14ac:dyDescent="0.3">
      <c r="A474" s="2" t="s">
        <v>973</v>
      </c>
      <c r="B474" s="2" t="s">
        <v>6</v>
      </c>
      <c r="C474" s="3" t="str">
        <f>HYPERLINK("https://springer.com/10530")</f>
        <v>https://springer.com/10530</v>
      </c>
      <c r="D474" s="2" t="s">
        <v>974</v>
      </c>
      <c r="E474" s="2" t="s">
        <v>8</v>
      </c>
    </row>
    <row r="475" spans="1:5" ht="12.75" customHeight="1" x14ac:dyDescent="0.3">
      <c r="A475" s="2" t="s">
        <v>975</v>
      </c>
      <c r="B475" s="2" t="s">
        <v>6</v>
      </c>
      <c r="C475" s="3" t="str">
        <f>HYPERLINK("https://springer.com/10531")</f>
        <v>https://springer.com/10531</v>
      </c>
      <c r="D475" s="2" t="s">
        <v>976</v>
      </c>
      <c r="E475" s="2" t="s">
        <v>8</v>
      </c>
    </row>
    <row r="476" spans="1:5" ht="12.75" customHeight="1" x14ac:dyDescent="0.3">
      <c r="A476" s="2" t="s">
        <v>977</v>
      </c>
      <c r="B476" s="2" t="s">
        <v>6</v>
      </c>
      <c r="C476" s="3" t="str">
        <f>HYPERLINK("https://springer.com/10532")</f>
        <v>https://springer.com/10532</v>
      </c>
      <c r="D476" s="2" t="s">
        <v>978</v>
      </c>
      <c r="E476" s="2" t="s">
        <v>8</v>
      </c>
    </row>
    <row r="477" spans="1:5" ht="12.75" customHeight="1" x14ac:dyDescent="0.3">
      <c r="A477" s="2" t="s">
        <v>979</v>
      </c>
      <c r="B477" s="2" t="s">
        <v>6</v>
      </c>
      <c r="C477" s="3" t="str">
        <f>HYPERLINK("https://springer.com/10534")</f>
        <v>https://springer.com/10534</v>
      </c>
      <c r="D477" s="2" t="s">
        <v>980</v>
      </c>
      <c r="E477" s="2" t="s">
        <v>8</v>
      </c>
    </row>
    <row r="478" spans="1:5" ht="12.75" customHeight="1" x14ac:dyDescent="0.3">
      <c r="A478" s="2" t="s">
        <v>981</v>
      </c>
      <c r="B478" s="2" t="s">
        <v>868</v>
      </c>
      <c r="C478" s="3" t="str">
        <f>HYPERLINK("https://springer.com/10539")</f>
        <v>https://springer.com/10539</v>
      </c>
      <c r="D478" s="2" t="s">
        <v>982</v>
      </c>
      <c r="E478" s="2" t="s">
        <v>8</v>
      </c>
    </row>
    <row r="479" spans="1:5" ht="12.75" customHeight="1" x14ac:dyDescent="0.3">
      <c r="A479" s="2" t="s">
        <v>983</v>
      </c>
      <c r="B479" s="2" t="s">
        <v>6</v>
      </c>
      <c r="C479" s="3" t="str">
        <f>HYPERLINK("https://springer.com/10541")</f>
        <v>https://springer.com/10541</v>
      </c>
      <c r="D479" s="2" t="s">
        <v>984</v>
      </c>
      <c r="E479" s="2"/>
    </row>
    <row r="480" spans="1:5" ht="12.75" customHeight="1" x14ac:dyDescent="0.3">
      <c r="A480" s="2" t="s">
        <v>985</v>
      </c>
      <c r="B480" s="2" t="s">
        <v>10</v>
      </c>
      <c r="C480" s="3" t="str">
        <f>HYPERLINK("https://springer.com/10543")</f>
        <v>https://springer.com/10543</v>
      </c>
      <c r="D480" s="2" t="s">
        <v>986</v>
      </c>
      <c r="E480" s="2" t="s">
        <v>8</v>
      </c>
    </row>
    <row r="481" spans="1:5" ht="12.75" customHeight="1" x14ac:dyDescent="0.3">
      <c r="A481" s="2" t="s">
        <v>987</v>
      </c>
      <c r="B481" s="2" t="s">
        <v>56</v>
      </c>
      <c r="C481" s="3" t="str">
        <f>HYPERLINK("https://springer.com/10544")</f>
        <v>https://springer.com/10544</v>
      </c>
      <c r="D481" s="2" t="s">
        <v>988</v>
      </c>
      <c r="E481" s="2" t="s">
        <v>8</v>
      </c>
    </row>
    <row r="482" spans="1:5" ht="12.75" customHeight="1" x14ac:dyDescent="0.3">
      <c r="A482" s="2" t="s">
        <v>989</v>
      </c>
      <c r="B482" s="2" t="s">
        <v>26</v>
      </c>
      <c r="C482" s="3" t="str">
        <f>HYPERLINK("https://springer.com/10546")</f>
        <v>https://springer.com/10546</v>
      </c>
      <c r="D482" s="2" t="s">
        <v>990</v>
      </c>
      <c r="E482" s="2" t="s">
        <v>8</v>
      </c>
    </row>
    <row r="483" spans="1:5" ht="12.75" customHeight="1" x14ac:dyDescent="0.3">
      <c r="A483" s="2" t="s">
        <v>991</v>
      </c>
      <c r="B483" s="2" t="s">
        <v>20</v>
      </c>
      <c r="C483" s="3" t="str">
        <f>HYPERLINK("https://springer.com/10548")</f>
        <v>https://springer.com/10548</v>
      </c>
      <c r="D483" s="2" t="s">
        <v>992</v>
      </c>
      <c r="E483" s="2" t="s">
        <v>8</v>
      </c>
    </row>
    <row r="484" spans="1:5" ht="12.75" customHeight="1" x14ac:dyDescent="0.3">
      <c r="A484" s="2" t="s">
        <v>993</v>
      </c>
      <c r="B484" s="2" t="s">
        <v>78</v>
      </c>
      <c r="C484" s="3" t="str">
        <f>HYPERLINK("https://springer.com/10549")</f>
        <v>https://springer.com/10549</v>
      </c>
      <c r="D484" s="2" t="s">
        <v>994</v>
      </c>
      <c r="E484" s="2" t="s">
        <v>8</v>
      </c>
    </row>
    <row r="485" spans="1:5" ht="12.75" customHeight="1" x14ac:dyDescent="0.3">
      <c r="A485" s="2" t="s">
        <v>995</v>
      </c>
      <c r="B485" s="2" t="s">
        <v>868</v>
      </c>
      <c r="C485" s="3" t="str">
        <f>HYPERLINK("https://springer.com/10551")</f>
        <v>https://springer.com/10551</v>
      </c>
      <c r="D485" s="2" t="s">
        <v>996</v>
      </c>
      <c r="E485" s="2" t="s">
        <v>8</v>
      </c>
    </row>
    <row r="486" spans="1:5" ht="12.75" customHeight="1" x14ac:dyDescent="0.3">
      <c r="A486" s="2" t="s">
        <v>997</v>
      </c>
      <c r="B486" s="2" t="s">
        <v>20</v>
      </c>
      <c r="C486" s="3" t="str">
        <f>HYPERLINK("https://springer.com/10552")</f>
        <v>https://springer.com/10552</v>
      </c>
      <c r="D486" s="2" t="s">
        <v>998</v>
      </c>
      <c r="E486" s="2" t="s">
        <v>8</v>
      </c>
    </row>
    <row r="487" spans="1:5" ht="12.75" customHeight="1" x14ac:dyDescent="0.3">
      <c r="A487" s="2" t="s">
        <v>999</v>
      </c>
      <c r="B487" s="2" t="s">
        <v>78</v>
      </c>
      <c r="C487" s="3" t="str">
        <f>HYPERLINK("https://springer.com/10554")</f>
        <v>https://springer.com/10554</v>
      </c>
      <c r="D487" s="2" t="s">
        <v>1000</v>
      </c>
      <c r="E487" s="2" t="s">
        <v>8</v>
      </c>
    </row>
    <row r="488" spans="1:5" ht="12.75" customHeight="1" x14ac:dyDescent="0.3">
      <c r="A488" s="2" t="s">
        <v>1001</v>
      </c>
      <c r="B488" s="2" t="s">
        <v>20</v>
      </c>
      <c r="C488" s="3" t="str">
        <f>HYPERLINK("https://springer.com/10555")</f>
        <v>https://springer.com/10555</v>
      </c>
      <c r="D488" s="2" t="s">
        <v>1002</v>
      </c>
      <c r="E488" s="2" t="s">
        <v>8</v>
      </c>
    </row>
    <row r="489" spans="1:5" ht="12.75" customHeight="1" x14ac:dyDescent="0.3">
      <c r="A489" s="2" t="s">
        <v>1003</v>
      </c>
      <c r="B489" s="2" t="s">
        <v>78</v>
      </c>
      <c r="C489" s="3" t="str">
        <f>HYPERLINK("https://springer.com/10557")</f>
        <v>https://springer.com/10557</v>
      </c>
      <c r="D489" s="2" t="s">
        <v>1004</v>
      </c>
      <c r="E489" s="2" t="s">
        <v>8</v>
      </c>
    </row>
    <row r="490" spans="1:5" ht="12.75" customHeight="1" x14ac:dyDescent="0.3">
      <c r="A490" s="2" t="s">
        <v>1005</v>
      </c>
      <c r="B490" s="2" t="s">
        <v>10</v>
      </c>
      <c r="C490" s="3" t="str">
        <f>HYPERLINK("https://springer.com/10559")</f>
        <v>https://springer.com/10559</v>
      </c>
      <c r="D490" s="2" t="s">
        <v>1006</v>
      </c>
      <c r="E490" s="2" t="s">
        <v>8</v>
      </c>
    </row>
    <row r="491" spans="1:5" ht="12.75" customHeight="1" x14ac:dyDescent="0.3">
      <c r="A491" s="2" t="s">
        <v>1007</v>
      </c>
      <c r="B491" s="2" t="s">
        <v>443</v>
      </c>
      <c r="C491" s="3" t="str">
        <f>HYPERLINK("https://springer.com/10560")</f>
        <v>https://springer.com/10560</v>
      </c>
      <c r="D491" s="2" t="s">
        <v>1008</v>
      </c>
      <c r="E491" s="2" t="s">
        <v>8</v>
      </c>
    </row>
    <row r="492" spans="1:5" ht="12.75" customHeight="1" x14ac:dyDescent="0.3">
      <c r="A492" s="2" t="s">
        <v>1009</v>
      </c>
      <c r="B492" s="2" t="s">
        <v>6</v>
      </c>
      <c r="C492" s="3" t="str">
        <f>HYPERLINK("https://springer.com/10561")</f>
        <v>https://springer.com/10561</v>
      </c>
      <c r="D492" s="2" t="s">
        <v>1010</v>
      </c>
      <c r="E492" s="2" t="s">
        <v>8</v>
      </c>
    </row>
    <row r="493" spans="1:5" ht="12.75" customHeight="1" x14ac:dyDescent="0.3">
      <c r="A493" s="2" t="s">
        <v>1011</v>
      </c>
      <c r="B493" s="2" t="s">
        <v>218</v>
      </c>
      <c r="C493" s="3" t="str">
        <f>HYPERLINK("https://springer.com/10562")</f>
        <v>https://springer.com/10562</v>
      </c>
      <c r="D493" s="2" t="s">
        <v>1012</v>
      </c>
      <c r="E493" s="2" t="s">
        <v>8</v>
      </c>
    </row>
    <row r="494" spans="1:5" ht="12.75" customHeight="1" x14ac:dyDescent="0.3">
      <c r="A494" s="2" t="s">
        <v>1013</v>
      </c>
      <c r="B494" s="2" t="s">
        <v>218</v>
      </c>
      <c r="C494" s="3" t="str">
        <f>HYPERLINK("https://springer.com/10563")</f>
        <v>https://springer.com/10563</v>
      </c>
      <c r="D494" s="2" t="s">
        <v>1014</v>
      </c>
      <c r="E494" s="2" t="s">
        <v>8</v>
      </c>
    </row>
    <row r="495" spans="1:5" ht="12.75" customHeight="1" x14ac:dyDescent="0.3">
      <c r="A495" s="2" t="s">
        <v>1015</v>
      </c>
      <c r="B495" s="2" t="s">
        <v>443</v>
      </c>
      <c r="C495" s="3" t="str">
        <f>HYPERLINK("https://springer.com/10566")</f>
        <v>https://springer.com/10566</v>
      </c>
      <c r="D495" s="2" t="s">
        <v>1016</v>
      </c>
      <c r="E495" s="2" t="s">
        <v>8</v>
      </c>
    </row>
    <row r="496" spans="1:5" ht="12.75" customHeight="1" x14ac:dyDescent="0.3">
      <c r="A496" s="2" t="s">
        <v>1017</v>
      </c>
      <c r="B496" s="2" t="s">
        <v>443</v>
      </c>
      <c r="C496" s="3" t="str">
        <f>HYPERLINK("https://springer.com/10567")</f>
        <v>https://springer.com/10567</v>
      </c>
      <c r="D496" s="2" t="s">
        <v>1018</v>
      </c>
      <c r="E496" s="2" t="s">
        <v>8</v>
      </c>
    </row>
    <row r="497" spans="1:5" ht="12.75" customHeight="1" x14ac:dyDescent="0.3">
      <c r="A497" s="2" t="s">
        <v>1019</v>
      </c>
      <c r="B497" s="2" t="s">
        <v>13</v>
      </c>
      <c r="C497" s="3" t="str">
        <f>HYPERLINK("https://springer.com/10569")</f>
        <v>https://springer.com/10569</v>
      </c>
      <c r="D497" s="2" t="s">
        <v>1020</v>
      </c>
      <c r="E497" s="2" t="s">
        <v>8</v>
      </c>
    </row>
    <row r="498" spans="1:5" ht="12.75" customHeight="1" x14ac:dyDescent="0.3">
      <c r="A498" s="2" t="s">
        <v>1021</v>
      </c>
      <c r="B498" s="2" t="s">
        <v>218</v>
      </c>
      <c r="C498" s="3" t="str">
        <f>HYPERLINK("https://springer.com/10570")</f>
        <v>https://springer.com/10570</v>
      </c>
      <c r="D498" s="2" t="s">
        <v>1022</v>
      </c>
      <c r="E498" s="2" t="s">
        <v>8</v>
      </c>
    </row>
    <row r="499" spans="1:5" ht="12.75" customHeight="1" x14ac:dyDescent="0.3">
      <c r="A499" s="2" t="s">
        <v>1023</v>
      </c>
      <c r="B499" s="2" t="s">
        <v>13</v>
      </c>
      <c r="C499" s="3" t="str">
        <f>HYPERLINK("https://springer.com/10573")</f>
        <v>https://springer.com/10573</v>
      </c>
      <c r="D499" s="2" t="s">
        <v>1024</v>
      </c>
      <c r="E499" s="2"/>
    </row>
    <row r="500" spans="1:5" ht="12.75" customHeight="1" x14ac:dyDescent="0.3">
      <c r="A500" s="2" t="s">
        <v>1025</v>
      </c>
      <c r="B500" s="2" t="s">
        <v>6</v>
      </c>
      <c r="C500" s="3" t="str">
        <f>HYPERLINK("https://springer.com/10577")</f>
        <v>https://springer.com/10577</v>
      </c>
      <c r="D500" s="2" t="s">
        <v>1026</v>
      </c>
      <c r="E500" s="2" t="s">
        <v>8</v>
      </c>
    </row>
    <row r="501" spans="1:5" ht="12.75" customHeight="1" x14ac:dyDescent="0.3">
      <c r="A501" s="2" t="s">
        <v>1027</v>
      </c>
      <c r="B501" s="2" t="s">
        <v>443</v>
      </c>
      <c r="C501" s="3" t="str">
        <f>HYPERLINK("https://springer.com/10578")</f>
        <v>https://springer.com/10578</v>
      </c>
      <c r="D501" s="2" t="s">
        <v>1028</v>
      </c>
      <c r="E501" s="2" t="s">
        <v>8</v>
      </c>
    </row>
    <row r="502" spans="1:5" ht="12.75" customHeight="1" x14ac:dyDescent="0.3">
      <c r="A502" s="2" t="s">
        <v>1029</v>
      </c>
      <c r="B502" s="2" t="s">
        <v>1030</v>
      </c>
      <c r="C502" s="3" t="str">
        <f>HYPERLINK("https://springer.com/10579")</f>
        <v>https://springer.com/10579</v>
      </c>
      <c r="D502" s="2" t="s">
        <v>1031</v>
      </c>
      <c r="E502" s="2" t="s">
        <v>8</v>
      </c>
    </row>
    <row r="503" spans="1:5" ht="12.75" customHeight="1" x14ac:dyDescent="0.3">
      <c r="A503" s="2" t="s">
        <v>1032</v>
      </c>
      <c r="B503" s="2" t="s">
        <v>1030</v>
      </c>
      <c r="C503" s="3" t="str">
        <f>HYPERLINK("https://springer.com/10583")</f>
        <v>https://springer.com/10583</v>
      </c>
      <c r="D503" s="2" t="s">
        <v>1033</v>
      </c>
      <c r="E503" s="2" t="s">
        <v>8</v>
      </c>
    </row>
    <row r="504" spans="1:5" ht="12.75" customHeight="1" x14ac:dyDescent="0.3">
      <c r="A504" s="2" t="s">
        <v>1034</v>
      </c>
      <c r="B504" s="2" t="s">
        <v>26</v>
      </c>
      <c r="C504" s="3" t="str">
        <f>HYPERLINK("https://springer.com/10584")</f>
        <v>https://springer.com/10584</v>
      </c>
      <c r="D504" s="2" t="s">
        <v>1035</v>
      </c>
      <c r="E504" s="2" t="s">
        <v>8</v>
      </c>
    </row>
    <row r="505" spans="1:5" ht="12.75" customHeight="1" x14ac:dyDescent="0.3">
      <c r="A505" s="2" t="s">
        <v>1036</v>
      </c>
      <c r="B505" s="2" t="s">
        <v>20</v>
      </c>
      <c r="C505" s="3" t="str">
        <f>HYPERLINK("https://springer.com/10585")</f>
        <v>https://springer.com/10585</v>
      </c>
      <c r="D505" s="2" t="s">
        <v>1037</v>
      </c>
      <c r="E505" s="2" t="s">
        <v>8</v>
      </c>
    </row>
    <row r="506" spans="1:5" ht="12.75" customHeight="1" x14ac:dyDescent="0.3">
      <c r="A506" s="2" t="s">
        <v>1038</v>
      </c>
      <c r="B506" s="2" t="s">
        <v>63</v>
      </c>
      <c r="C506" s="3" t="str">
        <f>HYPERLINK("https://springer.com/10586")</f>
        <v>https://springer.com/10586</v>
      </c>
      <c r="D506" s="2" t="s">
        <v>1039</v>
      </c>
      <c r="E506" s="2" t="s">
        <v>8</v>
      </c>
    </row>
    <row r="507" spans="1:5" ht="12.75" customHeight="1" x14ac:dyDescent="0.3">
      <c r="A507" s="2" t="s">
        <v>1040</v>
      </c>
      <c r="B507" s="2" t="s">
        <v>10</v>
      </c>
      <c r="C507" s="3" t="str">
        <f>HYPERLINK("https://springer.com/10587")</f>
        <v>https://springer.com/10587</v>
      </c>
      <c r="D507" s="2" t="s">
        <v>1041</v>
      </c>
      <c r="E507" s="2" t="s">
        <v>8</v>
      </c>
    </row>
    <row r="508" spans="1:5" ht="12.75" customHeight="1" x14ac:dyDescent="0.3">
      <c r="A508" s="2" t="s">
        <v>1042</v>
      </c>
      <c r="B508" s="2" t="s">
        <v>181</v>
      </c>
      <c r="C508" s="3" t="str">
        <f>HYPERLINK("https://springer.com/10588")</f>
        <v>https://springer.com/10588</v>
      </c>
      <c r="D508" s="2" t="s">
        <v>1043</v>
      </c>
      <c r="E508" s="2" t="s">
        <v>8</v>
      </c>
    </row>
    <row r="509" spans="1:5" ht="12.75" customHeight="1" x14ac:dyDescent="0.3">
      <c r="A509" s="2" t="s">
        <v>1044</v>
      </c>
      <c r="B509" s="2" t="s">
        <v>10</v>
      </c>
      <c r="C509" s="3" t="str">
        <f>HYPERLINK("https://springer.com/10589")</f>
        <v>https://springer.com/10589</v>
      </c>
      <c r="D509" s="2" t="s">
        <v>1045</v>
      </c>
      <c r="E509" s="2" t="s">
        <v>8</v>
      </c>
    </row>
    <row r="510" spans="1:5" ht="12.75" customHeight="1" x14ac:dyDescent="0.3">
      <c r="A510" s="2" t="s">
        <v>1046</v>
      </c>
      <c r="B510" s="2" t="s">
        <v>443</v>
      </c>
      <c r="C510" s="3" t="str">
        <f>HYPERLINK("https://springer.com/10591")</f>
        <v>https://springer.com/10591</v>
      </c>
      <c r="D510" s="2" t="s">
        <v>1047</v>
      </c>
      <c r="E510" s="2" t="s">
        <v>8</v>
      </c>
    </row>
    <row r="511" spans="1:5" ht="12.75" customHeight="1" x14ac:dyDescent="0.3">
      <c r="A511" s="2" t="s">
        <v>1048</v>
      </c>
      <c r="B511" s="2" t="s">
        <v>6</v>
      </c>
      <c r="C511" s="3" t="str">
        <f>HYPERLINK("https://springer.com/10592")</f>
        <v>https://springer.com/10592</v>
      </c>
      <c r="D511" s="2" t="s">
        <v>1049</v>
      </c>
      <c r="E511" s="2" t="s">
        <v>8</v>
      </c>
    </row>
    <row r="512" spans="1:5" ht="12.75" customHeight="1" x14ac:dyDescent="0.3">
      <c r="A512" s="2" t="s">
        <v>1050</v>
      </c>
      <c r="B512" s="2" t="s">
        <v>218</v>
      </c>
      <c r="C512" s="3" t="str">
        <f>HYPERLINK("https://springer.com/10593")</f>
        <v>https://springer.com/10593</v>
      </c>
      <c r="D512" s="2" t="s">
        <v>1051</v>
      </c>
      <c r="E512" s="2" t="s">
        <v>8</v>
      </c>
    </row>
    <row r="513" spans="1:5" ht="12.75" customHeight="1" x14ac:dyDescent="0.3">
      <c r="A513" s="2" t="s">
        <v>1052</v>
      </c>
      <c r="B513" s="2" t="s">
        <v>218</v>
      </c>
      <c r="C513" s="3" t="str">
        <f>HYPERLINK("https://springer.com/10595")</f>
        <v>https://springer.com/10595</v>
      </c>
      <c r="D513" s="2" t="s">
        <v>1053</v>
      </c>
      <c r="E513" s="2"/>
    </row>
    <row r="514" spans="1:5" ht="12.75" customHeight="1" x14ac:dyDescent="0.3">
      <c r="A514" s="2" t="s">
        <v>1054</v>
      </c>
      <c r="B514" s="2" t="s">
        <v>26</v>
      </c>
      <c r="C514" s="3" t="str">
        <f>HYPERLINK("https://springer.com/10596")</f>
        <v>https://springer.com/10596</v>
      </c>
      <c r="D514" s="2" t="s">
        <v>1055</v>
      </c>
      <c r="E514" s="2" t="s">
        <v>8</v>
      </c>
    </row>
    <row r="515" spans="1:5" ht="12.75" customHeight="1" x14ac:dyDescent="0.3">
      <c r="A515" s="2" t="s">
        <v>1056</v>
      </c>
      <c r="B515" s="2" t="s">
        <v>78</v>
      </c>
      <c r="C515" s="3" t="str">
        <f>HYPERLINK("https://springer.com/10597")</f>
        <v>https://springer.com/10597</v>
      </c>
      <c r="D515" s="2" t="s">
        <v>1057</v>
      </c>
      <c r="E515" s="2" t="s">
        <v>8</v>
      </c>
    </row>
    <row r="516" spans="1:5" ht="12.75" customHeight="1" x14ac:dyDescent="0.3">
      <c r="A516" s="2" t="s">
        <v>1058</v>
      </c>
      <c r="B516" s="2" t="s">
        <v>10</v>
      </c>
      <c r="C516" s="3" t="str">
        <f>HYPERLINK("https://springer.com/10598")</f>
        <v>https://springer.com/10598</v>
      </c>
      <c r="D516" s="2" t="s">
        <v>1059</v>
      </c>
      <c r="E516" s="2" t="s">
        <v>8</v>
      </c>
    </row>
    <row r="517" spans="1:5" ht="12.75" customHeight="1" x14ac:dyDescent="0.3">
      <c r="A517" s="2" t="s">
        <v>1060</v>
      </c>
      <c r="B517" s="2" t="s">
        <v>63</v>
      </c>
      <c r="C517" s="3" t="str">
        <f>HYPERLINK("https://springer.com/10601")</f>
        <v>https://springer.com/10601</v>
      </c>
      <c r="D517" s="2" t="s">
        <v>1061</v>
      </c>
      <c r="E517" s="2" t="s">
        <v>8</v>
      </c>
    </row>
    <row r="518" spans="1:5" ht="12.75" customHeight="1" x14ac:dyDescent="0.3">
      <c r="A518" s="2" t="s">
        <v>1062</v>
      </c>
      <c r="B518" s="2" t="s">
        <v>1063</v>
      </c>
      <c r="C518" s="3" t="str">
        <f>HYPERLINK("https://springer.com/10602")</f>
        <v>https://springer.com/10602</v>
      </c>
      <c r="D518" s="2" t="s">
        <v>1064</v>
      </c>
      <c r="E518" s="2" t="s">
        <v>8</v>
      </c>
    </row>
    <row r="519" spans="1:5" ht="12.75" customHeight="1" x14ac:dyDescent="0.3">
      <c r="A519" s="2" t="s">
        <v>1065</v>
      </c>
      <c r="B519" s="2" t="s">
        <v>794</v>
      </c>
      <c r="C519" s="3" t="str">
        <f>HYPERLINK("https://springer.com/10603")</f>
        <v>https://springer.com/10603</v>
      </c>
      <c r="D519" s="2" t="s">
        <v>1066</v>
      </c>
      <c r="E519" s="2" t="s">
        <v>8</v>
      </c>
    </row>
    <row r="520" spans="1:5" ht="12.75" customHeight="1" x14ac:dyDescent="0.3">
      <c r="A520" s="2" t="s">
        <v>1067</v>
      </c>
      <c r="B520" s="2" t="s">
        <v>13</v>
      </c>
      <c r="C520" s="3" t="str">
        <f>HYPERLINK("https://springer.com/10604")</f>
        <v>https://springer.com/10604</v>
      </c>
      <c r="D520" s="2" t="s">
        <v>1068</v>
      </c>
      <c r="E520" s="2"/>
    </row>
    <row r="521" spans="1:5" ht="12.75" customHeight="1" x14ac:dyDescent="0.3">
      <c r="A521" s="2" t="s">
        <v>1069</v>
      </c>
      <c r="B521" s="2" t="s">
        <v>63</v>
      </c>
      <c r="C521" s="3" t="str">
        <f>HYPERLINK("https://springer.com/10606")</f>
        <v>https://springer.com/10606</v>
      </c>
      <c r="D521" s="2" t="s">
        <v>1070</v>
      </c>
      <c r="E521" s="2" t="s">
        <v>8</v>
      </c>
    </row>
    <row r="522" spans="1:5" ht="12.75" customHeight="1" x14ac:dyDescent="0.3">
      <c r="A522" s="2" t="s">
        <v>1071</v>
      </c>
      <c r="B522" s="2" t="s">
        <v>78</v>
      </c>
      <c r="C522" s="3" t="str">
        <f>HYPERLINK("https://springer.com/10608")</f>
        <v>https://springer.com/10608</v>
      </c>
      <c r="D522" s="2" t="s">
        <v>1072</v>
      </c>
      <c r="E522" s="2" t="s">
        <v>8</v>
      </c>
    </row>
    <row r="523" spans="1:5" ht="12.75" customHeight="1" x14ac:dyDescent="0.3">
      <c r="A523" s="2" t="s">
        <v>1073</v>
      </c>
      <c r="B523" s="2" t="s">
        <v>347</v>
      </c>
      <c r="C523" s="3" t="str">
        <f>HYPERLINK("https://springer.com/10609")</f>
        <v>https://springer.com/10609</v>
      </c>
      <c r="D523" s="2" t="s">
        <v>1074</v>
      </c>
      <c r="E523" s="2" t="s">
        <v>8</v>
      </c>
    </row>
    <row r="524" spans="1:5" ht="12.75" customHeight="1" x14ac:dyDescent="0.3">
      <c r="A524" s="2" t="s">
        <v>1075</v>
      </c>
      <c r="B524" s="2" t="s">
        <v>1076</v>
      </c>
      <c r="C524" s="3" t="str">
        <f>HYPERLINK("https://springer.com/10610")</f>
        <v>https://springer.com/10610</v>
      </c>
      <c r="D524" s="2" t="s">
        <v>1077</v>
      </c>
      <c r="E524" s="2" t="s">
        <v>8</v>
      </c>
    </row>
    <row r="525" spans="1:5" ht="12.75" customHeight="1" x14ac:dyDescent="0.3">
      <c r="A525" s="2" t="s">
        <v>1078</v>
      </c>
      <c r="B525" s="2" t="s">
        <v>1076</v>
      </c>
      <c r="C525" s="3" t="str">
        <f>HYPERLINK("https://springer.com/10611")</f>
        <v>https://springer.com/10611</v>
      </c>
      <c r="D525" s="2" t="s">
        <v>1079</v>
      </c>
      <c r="E525" s="2" t="s">
        <v>8</v>
      </c>
    </row>
    <row r="526" spans="1:5" ht="12.75" customHeight="1" x14ac:dyDescent="0.3">
      <c r="A526" s="2" t="s">
        <v>1080</v>
      </c>
      <c r="B526" s="2" t="s">
        <v>1076</v>
      </c>
      <c r="C526" s="3" t="str">
        <f>HYPERLINK("https://springer.com/10612")</f>
        <v>https://springer.com/10612</v>
      </c>
      <c r="D526" s="2" t="s">
        <v>1081</v>
      </c>
      <c r="E526" s="2" t="s">
        <v>8</v>
      </c>
    </row>
    <row r="527" spans="1:5" ht="12.75" customHeight="1" x14ac:dyDescent="0.3">
      <c r="A527" s="2" t="s">
        <v>1082</v>
      </c>
      <c r="B527" s="2" t="s">
        <v>151</v>
      </c>
      <c r="C527" s="3" t="str">
        <f>HYPERLINK("https://springer.com/10614")</f>
        <v>https://springer.com/10614</v>
      </c>
      <c r="D527" s="2" t="s">
        <v>1083</v>
      </c>
      <c r="E527" s="2" t="s">
        <v>8</v>
      </c>
    </row>
    <row r="528" spans="1:5" ht="12.75" customHeight="1" x14ac:dyDescent="0.3">
      <c r="A528" s="2" t="s">
        <v>1084</v>
      </c>
      <c r="B528" s="2" t="s">
        <v>443</v>
      </c>
      <c r="C528" s="3" t="str">
        <f>HYPERLINK("https://springer.com/10615")</f>
        <v>https://springer.com/10615</v>
      </c>
      <c r="D528" s="2" t="s">
        <v>1085</v>
      </c>
      <c r="E528" s="2" t="s">
        <v>8</v>
      </c>
    </row>
    <row r="529" spans="1:5" ht="12.75" customHeight="1" x14ac:dyDescent="0.3">
      <c r="A529" s="2" t="s">
        <v>1086</v>
      </c>
      <c r="B529" s="2" t="s">
        <v>218</v>
      </c>
      <c r="C529" s="3" t="str">
        <f>HYPERLINK("https://springer.com/10616")</f>
        <v>https://springer.com/10616</v>
      </c>
      <c r="D529" s="2" t="s">
        <v>1087</v>
      </c>
      <c r="E529" s="2" t="s">
        <v>8</v>
      </c>
    </row>
    <row r="530" spans="1:5" ht="12.75" customHeight="1" x14ac:dyDescent="0.3">
      <c r="A530" s="2" t="s">
        <v>1088</v>
      </c>
      <c r="B530" s="2" t="s">
        <v>56</v>
      </c>
      <c r="C530" s="3" t="str">
        <f>HYPERLINK("https://springer.com/10617")</f>
        <v>https://springer.com/10617</v>
      </c>
      <c r="D530" s="2" t="s">
        <v>1089</v>
      </c>
      <c r="E530" s="2" t="s">
        <v>8</v>
      </c>
    </row>
    <row r="531" spans="1:5" ht="12.75" customHeight="1" x14ac:dyDescent="0.3">
      <c r="A531" s="2" t="s">
        <v>1090</v>
      </c>
      <c r="B531" s="2" t="s">
        <v>63</v>
      </c>
      <c r="C531" s="3" t="str">
        <f>HYPERLINK("https://springer.com/10618")</f>
        <v>https://springer.com/10618</v>
      </c>
      <c r="D531" s="2" t="s">
        <v>1091</v>
      </c>
      <c r="E531" s="2" t="s">
        <v>8</v>
      </c>
    </row>
    <row r="532" spans="1:5" ht="12.75" customHeight="1" x14ac:dyDescent="0.3">
      <c r="A532" s="2" t="s">
        <v>1092</v>
      </c>
      <c r="B532" s="2" t="s">
        <v>63</v>
      </c>
      <c r="C532" s="3" t="str">
        <f>HYPERLINK("https://springer.com/10619")</f>
        <v>https://springer.com/10619</v>
      </c>
      <c r="D532" s="2" t="s">
        <v>1093</v>
      </c>
      <c r="E532" s="2" t="s">
        <v>8</v>
      </c>
    </row>
    <row r="533" spans="1:5" ht="12.75" customHeight="1" x14ac:dyDescent="0.3">
      <c r="A533" s="2" t="s">
        <v>1094</v>
      </c>
      <c r="B533" s="2" t="s">
        <v>78</v>
      </c>
      <c r="C533" s="3" t="str">
        <f>HYPERLINK("https://springer.com/10620")</f>
        <v>https://springer.com/10620</v>
      </c>
      <c r="D533" s="2" t="s">
        <v>1095</v>
      </c>
      <c r="E533" s="2" t="s">
        <v>141</v>
      </c>
    </row>
    <row r="534" spans="1:5" ht="12.75" customHeight="1" x14ac:dyDescent="0.3">
      <c r="A534" s="2" t="s">
        <v>1096</v>
      </c>
      <c r="B534" s="2" t="s">
        <v>63</v>
      </c>
      <c r="C534" s="3" t="str">
        <f>HYPERLINK("https://springer.com/10623")</f>
        <v>https://springer.com/10623</v>
      </c>
      <c r="D534" s="2" t="s">
        <v>1097</v>
      </c>
      <c r="E534" s="2" t="s">
        <v>8</v>
      </c>
    </row>
    <row r="535" spans="1:5" ht="12.75" customHeight="1" x14ac:dyDescent="0.3">
      <c r="A535" s="2" t="s">
        <v>1098</v>
      </c>
      <c r="B535" s="2" t="s">
        <v>794</v>
      </c>
      <c r="C535" s="3" t="str">
        <f>HYPERLINK("https://springer.com/10624")</f>
        <v>https://springer.com/10624</v>
      </c>
      <c r="D535" s="2" t="s">
        <v>1099</v>
      </c>
      <c r="E535" s="2" t="s">
        <v>8</v>
      </c>
    </row>
    <row r="536" spans="1:5" ht="12.75" customHeight="1" x14ac:dyDescent="0.3">
      <c r="A536" s="2" t="s">
        <v>1100</v>
      </c>
      <c r="B536" s="2" t="s">
        <v>10</v>
      </c>
      <c r="C536" s="3" t="str">
        <f>HYPERLINK("https://springer.com/10625")</f>
        <v>https://springer.com/10625</v>
      </c>
      <c r="D536" s="2" t="s">
        <v>1101</v>
      </c>
      <c r="E536" s="2"/>
    </row>
    <row r="537" spans="1:5" ht="12.75" customHeight="1" x14ac:dyDescent="0.3">
      <c r="A537" s="2" t="s">
        <v>1102</v>
      </c>
      <c r="B537" s="2" t="s">
        <v>10</v>
      </c>
      <c r="C537" s="3" t="str">
        <f>HYPERLINK("https://springer.com/10626")</f>
        <v>https://springer.com/10626</v>
      </c>
      <c r="D537" s="2" t="s">
        <v>1103</v>
      </c>
      <c r="E537" s="2" t="s">
        <v>8</v>
      </c>
    </row>
    <row r="538" spans="1:5" ht="12.75" customHeight="1" x14ac:dyDescent="0.3">
      <c r="A538" s="2" t="s">
        <v>1104</v>
      </c>
      <c r="B538" s="2" t="s">
        <v>6</v>
      </c>
      <c r="C538" s="3" t="str">
        <f>HYPERLINK("https://springer.com/10628")</f>
        <v>https://springer.com/10628</v>
      </c>
      <c r="D538" s="2" t="s">
        <v>1105</v>
      </c>
      <c r="E538" s="2"/>
    </row>
    <row r="539" spans="1:5" ht="12.75" customHeight="1" x14ac:dyDescent="0.3">
      <c r="A539" s="2" t="s">
        <v>1106</v>
      </c>
      <c r="B539" s="2" t="s">
        <v>6</v>
      </c>
      <c r="C539" s="3" t="str">
        <f>HYPERLINK("https://springer.com/10630")</f>
        <v>https://springer.com/10630</v>
      </c>
      <c r="D539" s="2" t="s">
        <v>1107</v>
      </c>
      <c r="E539" s="2"/>
    </row>
    <row r="540" spans="1:5" ht="12.75" customHeight="1" x14ac:dyDescent="0.3">
      <c r="A540" s="2" t="s">
        <v>1108</v>
      </c>
      <c r="B540" s="2" t="s">
        <v>218</v>
      </c>
      <c r="C540" s="3" t="str">
        <f>HYPERLINK("https://springer.com/10631")</f>
        <v>https://springer.com/10631</v>
      </c>
      <c r="D540" s="2" t="s">
        <v>1109</v>
      </c>
      <c r="E540" s="2"/>
    </row>
    <row r="541" spans="1:5" ht="12.75" customHeight="1" x14ac:dyDescent="0.3">
      <c r="A541" s="2" t="s">
        <v>1110</v>
      </c>
      <c r="B541" s="2" t="s">
        <v>78</v>
      </c>
      <c r="C541" s="3" t="str">
        <f>HYPERLINK("https://springer.com/10633")</f>
        <v>https://springer.com/10633</v>
      </c>
      <c r="D541" s="2" t="s">
        <v>1111</v>
      </c>
      <c r="E541" s="2" t="s">
        <v>8</v>
      </c>
    </row>
    <row r="542" spans="1:5" ht="12.75" customHeight="1" x14ac:dyDescent="0.3">
      <c r="A542" s="2" t="s">
        <v>1112</v>
      </c>
      <c r="B542" s="2" t="s">
        <v>218</v>
      </c>
      <c r="C542" s="3" t="str">
        <f>HYPERLINK("https://springer.com/10634")</f>
        <v>https://springer.com/10634</v>
      </c>
      <c r="D542" s="2" t="s">
        <v>1113</v>
      </c>
      <c r="E542" s="2"/>
    </row>
    <row r="543" spans="1:5" ht="12.75" customHeight="1" x14ac:dyDescent="0.3">
      <c r="A543" s="2" t="s">
        <v>1114</v>
      </c>
      <c r="B543" s="2" t="s">
        <v>78</v>
      </c>
      <c r="C543" s="3" t="str">
        <f>HYPERLINK("https://springer.com/10637")</f>
        <v>https://springer.com/10637</v>
      </c>
      <c r="D543" s="2" t="s">
        <v>1115</v>
      </c>
      <c r="E543" s="2" t="s">
        <v>8</v>
      </c>
    </row>
    <row r="544" spans="1:5" ht="12.75" customHeight="1" x14ac:dyDescent="0.3">
      <c r="A544" s="2" t="s">
        <v>1116</v>
      </c>
      <c r="B544" s="2" t="s">
        <v>63</v>
      </c>
      <c r="C544" s="3" t="str">
        <f>HYPERLINK("https://springer.com/10639")</f>
        <v>https://springer.com/10639</v>
      </c>
      <c r="D544" s="2" t="s">
        <v>1117</v>
      </c>
      <c r="E544" s="2" t="s">
        <v>8</v>
      </c>
    </row>
    <row r="545" spans="1:5" ht="12.75" customHeight="1" x14ac:dyDescent="0.3">
      <c r="A545" s="2" t="s">
        <v>1118</v>
      </c>
      <c r="B545" s="2" t="s">
        <v>151</v>
      </c>
      <c r="C545" s="3" t="str">
        <f>HYPERLINK("https://springer.com/10640")</f>
        <v>https://springer.com/10640</v>
      </c>
      <c r="D545" s="2" t="s">
        <v>1119</v>
      </c>
      <c r="E545" s="2" t="s">
        <v>8</v>
      </c>
    </row>
    <row r="546" spans="1:5" ht="12.75" customHeight="1" x14ac:dyDescent="0.3">
      <c r="A546" s="2" t="s">
        <v>1120</v>
      </c>
      <c r="B546" s="2" t="s">
        <v>6</v>
      </c>
      <c r="C546" s="3" t="str">
        <f>HYPERLINK("https://springer.com/10641")</f>
        <v>https://springer.com/10641</v>
      </c>
      <c r="D546" s="2" t="s">
        <v>1121</v>
      </c>
      <c r="E546" s="2" t="s">
        <v>8</v>
      </c>
    </row>
    <row r="547" spans="1:5" ht="12.75" customHeight="1" x14ac:dyDescent="0.3">
      <c r="A547" s="2" t="s">
        <v>1122</v>
      </c>
      <c r="B547" s="2" t="s">
        <v>753</v>
      </c>
      <c r="C547" s="3" t="str">
        <f>HYPERLINK("https://springer.com/10643")</f>
        <v>https://springer.com/10643</v>
      </c>
      <c r="D547" s="2" t="s">
        <v>1123</v>
      </c>
      <c r="E547" s="2" t="s">
        <v>8</v>
      </c>
    </row>
    <row r="548" spans="1:5" ht="12.75" customHeight="1" x14ac:dyDescent="0.3">
      <c r="A548" s="2" t="s">
        <v>1124</v>
      </c>
      <c r="B548" s="2" t="s">
        <v>151</v>
      </c>
      <c r="C548" s="3" t="str">
        <f>HYPERLINK("https://springer.com/10644")</f>
        <v>https://springer.com/10644</v>
      </c>
      <c r="D548" s="2" t="s">
        <v>1125</v>
      </c>
      <c r="E548" s="2" t="s">
        <v>8</v>
      </c>
    </row>
    <row r="549" spans="1:5" ht="12.75" customHeight="1" x14ac:dyDescent="0.3">
      <c r="A549" s="2" t="s">
        <v>1126</v>
      </c>
      <c r="B549" s="2" t="s">
        <v>151</v>
      </c>
      <c r="C549" s="3" t="str">
        <f>HYPERLINK("https://springer.com/10645")</f>
        <v>https://springer.com/10645</v>
      </c>
      <c r="D549" s="2" t="s">
        <v>1127</v>
      </c>
      <c r="E549" s="2" t="s">
        <v>8</v>
      </c>
    </row>
    <row r="550" spans="1:5" ht="12.75" customHeight="1" x14ac:dyDescent="0.3">
      <c r="A550" s="2" t="s">
        <v>1128</v>
      </c>
      <c r="B550" s="2" t="s">
        <v>133</v>
      </c>
      <c r="C550" s="3" t="str">
        <f>HYPERLINK("https://springer.com/10646")</f>
        <v>https://springer.com/10646</v>
      </c>
      <c r="D550" s="2" t="s">
        <v>1129</v>
      </c>
      <c r="E550" s="2" t="s">
        <v>8</v>
      </c>
    </row>
    <row r="551" spans="1:5" ht="12.75" customHeight="1" x14ac:dyDescent="0.3">
      <c r="A551" s="2" t="s">
        <v>1130</v>
      </c>
      <c r="B551" s="2" t="s">
        <v>753</v>
      </c>
      <c r="C551" s="3" t="str">
        <f>HYPERLINK("https://springer.com/10648")</f>
        <v>https://springer.com/10648</v>
      </c>
      <c r="D551" s="2" t="s">
        <v>1131</v>
      </c>
      <c r="E551" s="2" t="s">
        <v>8</v>
      </c>
    </row>
    <row r="552" spans="1:5" ht="12.75" customHeight="1" x14ac:dyDescent="0.3">
      <c r="A552" s="2" t="s">
        <v>1132</v>
      </c>
      <c r="B552" s="2" t="s">
        <v>753</v>
      </c>
      <c r="C552" s="3" t="str">
        <f>HYPERLINK("https://springer.com/10649")</f>
        <v>https://springer.com/10649</v>
      </c>
      <c r="D552" s="2" t="s">
        <v>1133</v>
      </c>
      <c r="E552" s="2" t="s">
        <v>8</v>
      </c>
    </row>
    <row r="553" spans="1:5" ht="12.75" customHeight="1" x14ac:dyDescent="0.3">
      <c r="A553" s="2" t="s">
        <v>1134</v>
      </c>
      <c r="B553" s="2" t="s">
        <v>6</v>
      </c>
      <c r="C553" s="3" t="str">
        <f>HYPERLINK("https://springer.com/10651")</f>
        <v>https://springer.com/10651</v>
      </c>
      <c r="D553" s="2" t="s">
        <v>1135</v>
      </c>
      <c r="E553" s="2" t="s">
        <v>8</v>
      </c>
    </row>
    <row r="554" spans="1:5" ht="12.75" customHeight="1" x14ac:dyDescent="0.3">
      <c r="A554" s="2" t="s">
        <v>1136</v>
      </c>
      <c r="B554" s="2" t="s">
        <v>26</v>
      </c>
      <c r="C554" s="3" t="str">
        <f>HYPERLINK("https://springer.com/10652")</f>
        <v>https://springer.com/10652</v>
      </c>
      <c r="D554" s="2" t="s">
        <v>1137</v>
      </c>
      <c r="E554" s="2" t="s">
        <v>8</v>
      </c>
    </row>
    <row r="555" spans="1:5" ht="12.75" customHeight="1" x14ac:dyDescent="0.3">
      <c r="A555" s="2" t="s">
        <v>1138</v>
      </c>
      <c r="B555" s="2" t="s">
        <v>133</v>
      </c>
      <c r="C555" s="3" t="str">
        <f>HYPERLINK("https://springer.com/10653")</f>
        <v>https://springer.com/10653</v>
      </c>
      <c r="D555" s="2" t="s">
        <v>1139</v>
      </c>
      <c r="E555" s="2" t="s">
        <v>8</v>
      </c>
    </row>
    <row r="556" spans="1:5" ht="12.75" customHeight="1" x14ac:dyDescent="0.3">
      <c r="A556" s="2" t="s">
        <v>1140</v>
      </c>
      <c r="B556" s="2" t="s">
        <v>78</v>
      </c>
      <c r="C556" s="3" t="str">
        <f>HYPERLINK("https://springer.com/10654")</f>
        <v>https://springer.com/10654</v>
      </c>
      <c r="D556" s="2" t="s">
        <v>1141</v>
      </c>
      <c r="E556" s="2" t="s">
        <v>8</v>
      </c>
    </row>
    <row r="557" spans="1:5" ht="12.75" customHeight="1" x14ac:dyDescent="0.3">
      <c r="A557" s="2" t="s">
        <v>1142</v>
      </c>
      <c r="B557" s="2" t="s">
        <v>151</v>
      </c>
      <c r="C557" s="3" t="str">
        <f>HYPERLINK("https://springer.com/10657")</f>
        <v>https://springer.com/10657</v>
      </c>
      <c r="D557" s="2" t="s">
        <v>1143</v>
      </c>
      <c r="E557" s="2" t="s">
        <v>8</v>
      </c>
    </row>
    <row r="558" spans="1:5" ht="12.75" customHeight="1" x14ac:dyDescent="0.3">
      <c r="A558" s="2" t="s">
        <v>1144</v>
      </c>
      <c r="B558" s="2" t="s">
        <v>6</v>
      </c>
      <c r="C558" s="3" t="str">
        <f>HYPERLINK("https://springer.com/10658")</f>
        <v>https://springer.com/10658</v>
      </c>
      <c r="D558" s="2" t="s">
        <v>1145</v>
      </c>
      <c r="E558" s="2" t="s">
        <v>8</v>
      </c>
    </row>
    <row r="559" spans="1:5" ht="12.75" customHeight="1" x14ac:dyDescent="0.3">
      <c r="A559" s="2" t="s">
        <v>1146</v>
      </c>
      <c r="B559" s="2" t="s">
        <v>56</v>
      </c>
      <c r="C559" s="3" t="str">
        <f>HYPERLINK("https://springer.com/10659")</f>
        <v>https://springer.com/10659</v>
      </c>
      <c r="D559" s="2" t="s">
        <v>1147</v>
      </c>
      <c r="E559" s="2" t="s">
        <v>8</v>
      </c>
    </row>
    <row r="560" spans="1:5" ht="12.75" customHeight="1" x14ac:dyDescent="0.3">
      <c r="A560" s="2" t="s">
        <v>1148</v>
      </c>
      <c r="B560" s="2" t="s">
        <v>181</v>
      </c>
      <c r="C560" s="3" t="str">
        <f>HYPERLINK("https://springer.com/10660")</f>
        <v>https://springer.com/10660</v>
      </c>
      <c r="D560" s="2" t="s">
        <v>1149</v>
      </c>
      <c r="E560" s="2" t="s">
        <v>8</v>
      </c>
    </row>
    <row r="561" spans="1:5" ht="12.75" customHeight="1" x14ac:dyDescent="0.3">
      <c r="A561" s="2" t="s">
        <v>1150</v>
      </c>
      <c r="B561" s="2" t="s">
        <v>133</v>
      </c>
      <c r="C561" s="3" t="str">
        <f>HYPERLINK("https://springer.com/10661")</f>
        <v>https://springer.com/10661</v>
      </c>
      <c r="D561" s="2" t="s">
        <v>1151</v>
      </c>
      <c r="E561" s="2" t="s">
        <v>8</v>
      </c>
    </row>
    <row r="562" spans="1:5" ht="12.75" customHeight="1" x14ac:dyDescent="0.3">
      <c r="A562" s="2" t="s">
        <v>1152</v>
      </c>
      <c r="B562" s="2" t="s">
        <v>151</v>
      </c>
      <c r="C562" s="3" t="str">
        <f>HYPERLINK("https://springer.com/10663")</f>
        <v>https://springer.com/10663</v>
      </c>
      <c r="D562" s="2" t="s">
        <v>1153</v>
      </c>
      <c r="E562" s="2" t="s">
        <v>8</v>
      </c>
    </row>
    <row r="563" spans="1:5" ht="12.75" customHeight="1" x14ac:dyDescent="0.3">
      <c r="A563" s="2" t="s">
        <v>1154</v>
      </c>
      <c r="B563" s="2" t="s">
        <v>63</v>
      </c>
      <c r="C563" s="3" t="str">
        <f>HYPERLINK("https://springer.com/10664")</f>
        <v>https://springer.com/10664</v>
      </c>
      <c r="D563" s="2" t="s">
        <v>1155</v>
      </c>
      <c r="E563" s="2" t="s">
        <v>8</v>
      </c>
    </row>
    <row r="564" spans="1:5" ht="12.75" customHeight="1" x14ac:dyDescent="0.3">
      <c r="A564" s="2" t="s">
        <v>1156</v>
      </c>
      <c r="B564" s="2" t="s">
        <v>10</v>
      </c>
      <c r="C564" s="3" t="str">
        <f>HYPERLINK("https://springer.com/10665")</f>
        <v>https://springer.com/10665</v>
      </c>
      <c r="D564" s="2" t="s">
        <v>1157</v>
      </c>
      <c r="E564" s="2" t="s">
        <v>8</v>
      </c>
    </row>
    <row r="565" spans="1:5" ht="12.75" customHeight="1" x14ac:dyDescent="0.3">
      <c r="A565" s="2" t="s">
        <v>1158</v>
      </c>
      <c r="B565" s="2" t="s">
        <v>133</v>
      </c>
      <c r="C565" s="3" t="str">
        <f>HYPERLINK("https://springer.com/10666")</f>
        <v>https://springer.com/10666</v>
      </c>
      <c r="D565" s="2" t="s">
        <v>1159</v>
      </c>
      <c r="E565" s="2" t="s">
        <v>8</v>
      </c>
    </row>
    <row r="566" spans="1:5" ht="12.75" customHeight="1" x14ac:dyDescent="0.3">
      <c r="A566" s="2" t="s">
        <v>1160</v>
      </c>
      <c r="B566" s="2" t="s">
        <v>133</v>
      </c>
      <c r="C566" s="3" t="str">
        <f>HYPERLINK("https://springer.com/10668")</f>
        <v>https://springer.com/10668</v>
      </c>
      <c r="D566" s="2" t="s">
        <v>1161</v>
      </c>
      <c r="E566" s="2" t="s">
        <v>8</v>
      </c>
    </row>
    <row r="567" spans="1:5" ht="12.75" customHeight="1" x14ac:dyDescent="0.3">
      <c r="A567" s="2" t="s">
        <v>1162</v>
      </c>
      <c r="B567" s="2" t="s">
        <v>133</v>
      </c>
      <c r="C567" s="3" t="str">
        <f>HYPERLINK("https://springer.com/10669")</f>
        <v>https://springer.com/10669</v>
      </c>
      <c r="D567" s="2" t="s">
        <v>1163</v>
      </c>
      <c r="E567" s="2" t="s">
        <v>8</v>
      </c>
    </row>
    <row r="568" spans="1:5" ht="12.75" customHeight="1" x14ac:dyDescent="0.3">
      <c r="A568" s="2" t="s">
        <v>1164</v>
      </c>
      <c r="B568" s="2" t="s">
        <v>868</v>
      </c>
      <c r="C568" s="3" t="str">
        <f>HYPERLINK("https://springer.com/10670")</f>
        <v>https://springer.com/10670</v>
      </c>
      <c r="D568" s="2" t="s">
        <v>1165</v>
      </c>
      <c r="E568" s="2" t="s">
        <v>8</v>
      </c>
    </row>
    <row r="569" spans="1:5" ht="12.75" customHeight="1" x14ac:dyDescent="0.3">
      <c r="A569" s="2" t="s">
        <v>1166</v>
      </c>
      <c r="B569" s="2" t="s">
        <v>753</v>
      </c>
      <c r="C569" s="3" t="str">
        <f>HYPERLINK("https://springer.com/10671")</f>
        <v>https://springer.com/10671</v>
      </c>
      <c r="D569" s="2" t="s">
        <v>1167</v>
      </c>
      <c r="E569" s="2" t="s">
        <v>8</v>
      </c>
    </row>
    <row r="570" spans="1:5" ht="12.75" customHeight="1" x14ac:dyDescent="0.3">
      <c r="A570" s="2" t="s">
        <v>1168</v>
      </c>
      <c r="B570" s="2" t="s">
        <v>794</v>
      </c>
      <c r="C570" s="3" t="str">
        <f>HYPERLINK("https://springer.com/10672")</f>
        <v>https://springer.com/10672</v>
      </c>
      <c r="D570" s="2" t="s">
        <v>1169</v>
      </c>
      <c r="E570" s="2" t="s">
        <v>8</v>
      </c>
    </row>
    <row r="571" spans="1:5" ht="12.75" customHeight="1" x14ac:dyDescent="0.3">
      <c r="A571" s="2" t="s">
        <v>1170</v>
      </c>
      <c r="B571" s="2" t="s">
        <v>63</v>
      </c>
      <c r="C571" s="3" t="str">
        <f>HYPERLINK("https://springer.com/10676")</f>
        <v>https://springer.com/10676</v>
      </c>
      <c r="D571" s="2" t="s">
        <v>1171</v>
      </c>
      <c r="E571" s="2" t="s">
        <v>8</v>
      </c>
    </row>
    <row r="572" spans="1:5" ht="12.75" customHeight="1" x14ac:dyDescent="0.3">
      <c r="A572" s="2" t="s">
        <v>1172</v>
      </c>
      <c r="B572" s="2" t="s">
        <v>868</v>
      </c>
      <c r="C572" s="3" t="str">
        <f>HYPERLINK("https://springer.com/10677")</f>
        <v>https://springer.com/10677</v>
      </c>
      <c r="D572" s="2" t="s">
        <v>1173</v>
      </c>
      <c r="E572" s="2" t="s">
        <v>8</v>
      </c>
    </row>
    <row r="573" spans="1:5" ht="12.75" customHeight="1" x14ac:dyDescent="0.3">
      <c r="A573" s="2" t="s">
        <v>1174</v>
      </c>
      <c r="B573" s="2" t="s">
        <v>6</v>
      </c>
      <c r="C573" s="3" t="str">
        <f>HYPERLINK("https://springer.com/10681")</f>
        <v>https://springer.com/10681</v>
      </c>
      <c r="D573" s="2" t="s">
        <v>1175</v>
      </c>
      <c r="E573" s="2" t="s">
        <v>8</v>
      </c>
    </row>
    <row r="574" spans="1:5" ht="12.75" customHeight="1" x14ac:dyDescent="0.3">
      <c r="A574" s="2" t="s">
        <v>1176</v>
      </c>
      <c r="B574" s="2" t="s">
        <v>6</v>
      </c>
      <c r="C574" s="3" t="str">
        <f>HYPERLINK("https://springer.com/10682")</f>
        <v>https://springer.com/10682</v>
      </c>
      <c r="D574" s="2" t="s">
        <v>1177</v>
      </c>
      <c r="E574" s="2" t="s">
        <v>8</v>
      </c>
    </row>
    <row r="575" spans="1:5" ht="12.75" customHeight="1" x14ac:dyDescent="0.3">
      <c r="A575" s="2" t="s">
        <v>1178</v>
      </c>
      <c r="B575" s="2" t="s">
        <v>13</v>
      </c>
      <c r="C575" s="3" t="str">
        <f>HYPERLINK("https://springer.com/10686")</f>
        <v>https://springer.com/10686</v>
      </c>
      <c r="D575" s="2" t="s">
        <v>1179</v>
      </c>
      <c r="E575" s="2" t="s">
        <v>8</v>
      </c>
    </row>
    <row r="576" spans="1:5" ht="12.75" customHeight="1" x14ac:dyDescent="0.3">
      <c r="A576" s="2" t="s">
        <v>1180</v>
      </c>
      <c r="B576" s="2" t="s">
        <v>170</v>
      </c>
      <c r="C576" s="3" t="str">
        <f>HYPERLINK("https://springer.com/10687")</f>
        <v>https://springer.com/10687</v>
      </c>
      <c r="D576" s="2" t="s">
        <v>1181</v>
      </c>
      <c r="E576" s="2" t="s">
        <v>8</v>
      </c>
    </row>
    <row r="577" spans="1:5" ht="12.75" customHeight="1" x14ac:dyDescent="0.3">
      <c r="A577" s="2" t="s">
        <v>1182</v>
      </c>
      <c r="B577" s="2" t="s">
        <v>10</v>
      </c>
      <c r="C577" s="3" t="str">
        <f>HYPERLINK("https://springer.com/10688")</f>
        <v>https://springer.com/10688</v>
      </c>
      <c r="D577" s="2" t="s">
        <v>1183</v>
      </c>
      <c r="E577" s="2"/>
    </row>
    <row r="578" spans="1:5" ht="12.75" customHeight="1" x14ac:dyDescent="0.3">
      <c r="A578" s="2" t="s">
        <v>1184</v>
      </c>
      <c r="B578" s="2" t="s">
        <v>20</v>
      </c>
      <c r="C578" s="3" t="str">
        <f>HYPERLINK("https://springer.com/10689")</f>
        <v>https://springer.com/10689</v>
      </c>
      <c r="D578" s="2" t="s">
        <v>1185</v>
      </c>
      <c r="E578" s="2" t="s">
        <v>8</v>
      </c>
    </row>
    <row r="579" spans="1:5" ht="12.75" customHeight="1" x14ac:dyDescent="0.3">
      <c r="A579" s="2" t="s">
        <v>1186</v>
      </c>
      <c r="B579" s="2" t="s">
        <v>857</v>
      </c>
      <c r="C579" s="3" t="str">
        <f>HYPERLINK("https://springer.com/10690")</f>
        <v>https://springer.com/10690</v>
      </c>
      <c r="D579" s="2" t="s">
        <v>1187</v>
      </c>
      <c r="E579" s="2" t="s">
        <v>8</v>
      </c>
    </row>
    <row r="580" spans="1:5" ht="12.75" customHeight="1" x14ac:dyDescent="0.3">
      <c r="A580" s="2" t="s">
        <v>1188</v>
      </c>
      <c r="B580" s="2" t="s">
        <v>347</v>
      </c>
      <c r="C580" s="3" t="str">
        <f>HYPERLINK("https://springer.com/10691")</f>
        <v>https://springer.com/10691</v>
      </c>
      <c r="D580" s="2" t="s">
        <v>1189</v>
      </c>
      <c r="E580" s="2" t="s">
        <v>8</v>
      </c>
    </row>
    <row r="581" spans="1:5" ht="12.75" customHeight="1" x14ac:dyDescent="0.3">
      <c r="A581" s="2" t="s">
        <v>1190</v>
      </c>
      <c r="B581" s="2" t="s">
        <v>857</v>
      </c>
      <c r="C581" s="3" t="str">
        <f>HYPERLINK("https://springer.com/10693")</f>
        <v>https://springer.com/10693</v>
      </c>
      <c r="D581" s="2" t="s">
        <v>1191</v>
      </c>
      <c r="E581" s="2" t="s">
        <v>8</v>
      </c>
    </row>
    <row r="582" spans="1:5" ht="12.75" customHeight="1" x14ac:dyDescent="0.3">
      <c r="A582" s="2" t="s">
        <v>1192</v>
      </c>
      <c r="B582" s="2" t="s">
        <v>56</v>
      </c>
      <c r="C582" s="3" t="str">
        <f>HYPERLINK("https://springer.com/10694")</f>
        <v>https://springer.com/10694</v>
      </c>
      <c r="D582" s="2" t="s">
        <v>1193</v>
      </c>
      <c r="E582" s="2" t="s">
        <v>8</v>
      </c>
    </row>
    <row r="583" spans="1:5" ht="12.75" customHeight="1" x14ac:dyDescent="0.3">
      <c r="A583" s="2" t="s">
        <v>1194</v>
      </c>
      <c r="B583" s="2" t="s">
        <v>6</v>
      </c>
      <c r="C583" s="3" t="str">
        <f>HYPERLINK("https://springer.com/10695")</f>
        <v>https://springer.com/10695</v>
      </c>
      <c r="D583" s="2" t="s">
        <v>1195</v>
      </c>
      <c r="E583" s="2" t="s">
        <v>8</v>
      </c>
    </row>
    <row r="584" spans="1:5" ht="12.75" customHeight="1" x14ac:dyDescent="0.3">
      <c r="A584" s="2" t="s">
        <v>1196</v>
      </c>
      <c r="B584" s="2" t="s">
        <v>56</v>
      </c>
      <c r="C584" s="3" t="str">
        <f>HYPERLINK("https://springer.com/10696")</f>
        <v>https://springer.com/10696</v>
      </c>
      <c r="D584" s="2" t="s">
        <v>1197</v>
      </c>
      <c r="E584" s="2" t="s">
        <v>8</v>
      </c>
    </row>
    <row r="585" spans="1:5" ht="12.75" customHeight="1" x14ac:dyDescent="0.3">
      <c r="A585" s="2" t="s">
        <v>1198</v>
      </c>
      <c r="B585" s="2" t="s">
        <v>13</v>
      </c>
      <c r="C585" s="3" t="str">
        <f>HYPERLINK("https://springer.com/10697")</f>
        <v>https://springer.com/10697</v>
      </c>
      <c r="D585" s="2" t="s">
        <v>1199</v>
      </c>
      <c r="E585" s="2"/>
    </row>
    <row r="586" spans="1:5" ht="12.75" customHeight="1" x14ac:dyDescent="0.3">
      <c r="A586" s="2" t="s">
        <v>1200</v>
      </c>
      <c r="B586" s="2" t="s">
        <v>868</v>
      </c>
      <c r="C586" s="3" t="str">
        <f>HYPERLINK("https://springer.com/10698")</f>
        <v>https://springer.com/10698</v>
      </c>
      <c r="D586" s="2" t="s">
        <v>1201</v>
      </c>
      <c r="E586" s="2" t="s">
        <v>8</v>
      </c>
    </row>
    <row r="587" spans="1:5" ht="12.75" customHeight="1" x14ac:dyDescent="0.3">
      <c r="A587" s="2" t="s">
        <v>1202</v>
      </c>
      <c r="B587" s="2" t="s">
        <v>868</v>
      </c>
      <c r="C587" s="3" t="str">
        <f>HYPERLINK("https://springer.com/10699")</f>
        <v>https://springer.com/10699</v>
      </c>
      <c r="D587" s="2" t="s">
        <v>1203</v>
      </c>
      <c r="E587" s="2" t="s">
        <v>8</v>
      </c>
    </row>
    <row r="588" spans="1:5" ht="12.75" customHeight="1" x14ac:dyDescent="0.3">
      <c r="A588" s="2" t="s">
        <v>1204</v>
      </c>
      <c r="B588" s="2" t="s">
        <v>10</v>
      </c>
      <c r="C588" s="3" t="str">
        <f>HYPERLINK("https://springer.com/10700")</f>
        <v>https://springer.com/10700</v>
      </c>
      <c r="D588" s="2" t="s">
        <v>1205</v>
      </c>
      <c r="E588" s="2" t="s">
        <v>8</v>
      </c>
    </row>
    <row r="589" spans="1:5" ht="12.75" customHeight="1" x14ac:dyDescent="0.3">
      <c r="A589" s="2" t="s">
        <v>1206</v>
      </c>
      <c r="B589" s="2" t="s">
        <v>13</v>
      </c>
      <c r="C589" s="3" t="str">
        <f>HYPERLINK("https://springer.com/10701")</f>
        <v>https://springer.com/10701</v>
      </c>
      <c r="D589" s="2" t="s">
        <v>1207</v>
      </c>
      <c r="E589" s="2" t="s">
        <v>8</v>
      </c>
    </row>
    <row r="590" spans="1:5" ht="12.75" customHeight="1" x14ac:dyDescent="0.3">
      <c r="A590" s="2" t="s">
        <v>1208</v>
      </c>
      <c r="B590" s="2" t="s">
        <v>56</v>
      </c>
      <c r="C590" s="3" t="str">
        <f>HYPERLINK("https://springer.com/10703")</f>
        <v>https://springer.com/10703</v>
      </c>
      <c r="D590" s="2" t="s">
        <v>1209</v>
      </c>
      <c r="E590" s="2" t="s">
        <v>8</v>
      </c>
    </row>
    <row r="591" spans="1:5" ht="12.75" customHeight="1" x14ac:dyDescent="0.3">
      <c r="A591" s="2" t="s">
        <v>1210</v>
      </c>
      <c r="B591" s="2" t="s">
        <v>56</v>
      </c>
      <c r="C591" s="3" t="str">
        <f>HYPERLINK("https://springer.com/10704")</f>
        <v>https://springer.com/10704</v>
      </c>
      <c r="D591" s="2" t="s">
        <v>1211</v>
      </c>
      <c r="E591" s="2" t="s">
        <v>8</v>
      </c>
    </row>
    <row r="592" spans="1:5" ht="12.75" customHeight="1" x14ac:dyDescent="0.3">
      <c r="A592" s="2" t="s">
        <v>1212</v>
      </c>
      <c r="B592" s="2" t="s">
        <v>6</v>
      </c>
      <c r="C592" s="3" t="str">
        <f>HYPERLINK("https://springer.com/10705")</f>
        <v>https://springer.com/10705</v>
      </c>
      <c r="D592" s="2" t="s">
        <v>1213</v>
      </c>
      <c r="E592" s="2" t="s">
        <v>8</v>
      </c>
    </row>
    <row r="593" spans="1:5" ht="12.75" customHeight="1" x14ac:dyDescent="0.3">
      <c r="A593" s="2" t="s">
        <v>1214</v>
      </c>
      <c r="B593" s="2" t="s">
        <v>26</v>
      </c>
      <c r="C593" s="3" t="str">
        <f>HYPERLINK("https://springer.com/10706")</f>
        <v>https://springer.com/10706</v>
      </c>
      <c r="D593" s="2" t="s">
        <v>1215</v>
      </c>
      <c r="E593" s="2" t="s">
        <v>8</v>
      </c>
    </row>
    <row r="594" spans="1:5" ht="12.75" customHeight="1" x14ac:dyDescent="0.3">
      <c r="A594" s="2" t="s">
        <v>1216</v>
      </c>
      <c r="B594" s="2" t="s">
        <v>63</v>
      </c>
      <c r="C594" s="3" t="str">
        <f>HYPERLINK("https://springer.com/10707")</f>
        <v>https://springer.com/10707</v>
      </c>
      <c r="D594" s="2" t="s">
        <v>1217</v>
      </c>
      <c r="E594" s="2" t="s">
        <v>8</v>
      </c>
    </row>
    <row r="595" spans="1:5" ht="12.75" customHeight="1" x14ac:dyDescent="0.3">
      <c r="A595" s="2" t="s">
        <v>1218</v>
      </c>
      <c r="B595" s="2" t="s">
        <v>794</v>
      </c>
      <c r="C595" s="3" t="str">
        <f>HYPERLINK("https://springer.com/10708")</f>
        <v>https://springer.com/10708</v>
      </c>
      <c r="D595" s="2" t="s">
        <v>1219</v>
      </c>
      <c r="E595" s="2" t="s">
        <v>8</v>
      </c>
    </row>
    <row r="596" spans="1:5" ht="12.75" customHeight="1" x14ac:dyDescent="0.3">
      <c r="A596" s="2" t="s">
        <v>1220</v>
      </c>
      <c r="B596" s="2" t="s">
        <v>6</v>
      </c>
      <c r="C596" s="3" t="str">
        <f>HYPERLINK("https://springer.com/10709")</f>
        <v>https://springer.com/10709</v>
      </c>
      <c r="D596" s="2" t="s">
        <v>1221</v>
      </c>
      <c r="E596" s="2" t="s">
        <v>8</v>
      </c>
    </row>
    <row r="597" spans="1:5" ht="12.75" customHeight="1" x14ac:dyDescent="0.3">
      <c r="A597" s="2" t="s">
        <v>1222</v>
      </c>
      <c r="B597" s="2" t="s">
        <v>63</v>
      </c>
      <c r="C597" s="3" t="str">
        <f>HYPERLINK("https://springer.com/10710")</f>
        <v>https://springer.com/10710</v>
      </c>
      <c r="D597" s="2" t="s">
        <v>1223</v>
      </c>
      <c r="E597" s="2" t="s">
        <v>8</v>
      </c>
    </row>
    <row r="598" spans="1:5" ht="12.75" customHeight="1" x14ac:dyDescent="0.3">
      <c r="A598" s="2" t="s">
        <v>1224</v>
      </c>
      <c r="B598" s="2" t="s">
        <v>10</v>
      </c>
      <c r="C598" s="3" t="str">
        <f>HYPERLINK("https://springer.com/10711")</f>
        <v>https://springer.com/10711</v>
      </c>
      <c r="D598" s="2" t="s">
        <v>1225</v>
      </c>
      <c r="E598" s="2" t="s">
        <v>8</v>
      </c>
    </row>
    <row r="599" spans="1:5" ht="12.75" customHeight="1" x14ac:dyDescent="0.3">
      <c r="A599" s="2" t="s">
        <v>1226</v>
      </c>
      <c r="B599" s="2" t="s">
        <v>26</v>
      </c>
      <c r="C599" s="3" t="str">
        <f>HYPERLINK("https://springer.com/10712")</f>
        <v>https://springer.com/10712</v>
      </c>
      <c r="D599" s="2" t="s">
        <v>1227</v>
      </c>
      <c r="E599" s="2" t="s">
        <v>8</v>
      </c>
    </row>
    <row r="600" spans="1:5" ht="12.75" customHeight="1" x14ac:dyDescent="0.3">
      <c r="A600" s="2" t="s">
        <v>1228</v>
      </c>
      <c r="B600" s="2" t="s">
        <v>857</v>
      </c>
      <c r="C600" s="3" t="str">
        <f>HYPERLINK("https://springer.com/10713")</f>
        <v>https://springer.com/10713</v>
      </c>
      <c r="D600" s="2" t="s">
        <v>1229</v>
      </c>
      <c r="E600" s="2" t="s">
        <v>8</v>
      </c>
    </row>
    <row r="601" spans="1:5" ht="12.75" customHeight="1" x14ac:dyDescent="0.3">
      <c r="A601" s="2" t="s">
        <v>1230</v>
      </c>
      <c r="B601" s="2" t="s">
        <v>13</v>
      </c>
      <c r="C601" s="3" t="str">
        <f>HYPERLINK("https://springer.com/10714")</f>
        <v>https://springer.com/10714</v>
      </c>
      <c r="D601" s="2" t="s">
        <v>1231</v>
      </c>
      <c r="E601" s="2" t="s">
        <v>8</v>
      </c>
    </row>
    <row r="602" spans="1:5" ht="12.75" customHeight="1" x14ac:dyDescent="0.3">
      <c r="A602" s="2" t="s">
        <v>1232</v>
      </c>
      <c r="B602" s="2" t="s">
        <v>6</v>
      </c>
      <c r="C602" s="3" t="str">
        <f>HYPERLINK("https://springer.com/10719")</f>
        <v>https://springer.com/10719</v>
      </c>
      <c r="D602" s="2" t="s">
        <v>1233</v>
      </c>
      <c r="E602" s="2" t="s">
        <v>8</v>
      </c>
    </row>
    <row r="603" spans="1:5" ht="12.75" customHeight="1" x14ac:dyDescent="0.3">
      <c r="A603" s="2" t="s">
        <v>1234</v>
      </c>
      <c r="B603" s="2" t="s">
        <v>396</v>
      </c>
      <c r="C603" s="3" t="str">
        <f>HYPERLINK("https://springer.com/10720")</f>
        <v>https://springer.com/10720</v>
      </c>
      <c r="D603" s="2" t="s">
        <v>1235</v>
      </c>
      <c r="E603" s="2"/>
    </row>
    <row r="604" spans="1:5" ht="12.75" customHeight="1" x14ac:dyDescent="0.3">
      <c r="A604" s="2" t="s">
        <v>1236</v>
      </c>
      <c r="B604" s="2" t="s">
        <v>6</v>
      </c>
      <c r="C604" s="3" t="str">
        <f>HYPERLINK("https://springer.com/10722")</f>
        <v>https://springer.com/10722</v>
      </c>
      <c r="D604" s="2" t="s">
        <v>1237</v>
      </c>
      <c r="E604" s="2" t="s">
        <v>8</v>
      </c>
    </row>
    <row r="605" spans="1:5" ht="12.75" customHeight="1" x14ac:dyDescent="0.3">
      <c r="A605" s="2" t="s">
        <v>1238</v>
      </c>
      <c r="B605" s="2" t="s">
        <v>63</v>
      </c>
      <c r="C605" s="3" t="str">
        <f>HYPERLINK("https://springer.com/10723")</f>
        <v>https://springer.com/10723</v>
      </c>
      <c r="D605" s="2" t="s">
        <v>1239</v>
      </c>
      <c r="E605" s="2" t="s">
        <v>8</v>
      </c>
    </row>
    <row r="606" spans="1:5" ht="12.75" customHeight="1" x14ac:dyDescent="0.3">
      <c r="A606" s="2" t="s">
        <v>1240</v>
      </c>
      <c r="B606" s="2" t="s">
        <v>181</v>
      </c>
      <c r="C606" s="3" t="str">
        <f>HYPERLINK("https://springer.com/10726")</f>
        <v>https://springer.com/10726</v>
      </c>
      <c r="D606" s="2" t="s">
        <v>1241</v>
      </c>
      <c r="E606" s="2" t="s">
        <v>8</v>
      </c>
    </row>
    <row r="607" spans="1:5" ht="12.75" customHeight="1" x14ac:dyDescent="0.3">
      <c r="A607" s="2" t="s">
        <v>1242</v>
      </c>
      <c r="B607" s="2" t="s">
        <v>78</v>
      </c>
      <c r="C607" s="3" t="str">
        <f>HYPERLINK("https://springer.com/10728")</f>
        <v>https://springer.com/10728</v>
      </c>
      <c r="D607" s="2" t="s">
        <v>1243</v>
      </c>
      <c r="E607" s="2" t="s">
        <v>8</v>
      </c>
    </row>
    <row r="608" spans="1:5" ht="12.75" customHeight="1" x14ac:dyDescent="0.3">
      <c r="A608" s="2" t="s">
        <v>1244</v>
      </c>
      <c r="B608" s="2" t="s">
        <v>181</v>
      </c>
      <c r="C608" s="3" t="str">
        <f>HYPERLINK("https://springer.com/10729")</f>
        <v>https://springer.com/10729</v>
      </c>
      <c r="D608" s="2" t="s">
        <v>1245</v>
      </c>
      <c r="E608" s="2" t="s">
        <v>8</v>
      </c>
    </row>
    <row r="609" spans="1:5" ht="12.75" customHeight="1" x14ac:dyDescent="0.3">
      <c r="A609" s="2" t="s">
        <v>1246</v>
      </c>
      <c r="B609" s="2" t="s">
        <v>868</v>
      </c>
      <c r="C609" s="3" t="str">
        <f>HYPERLINK("https://springer.com/10730")</f>
        <v>https://springer.com/10730</v>
      </c>
      <c r="D609" s="2" t="s">
        <v>1247</v>
      </c>
      <c r="E609" s="2" t="s">
        <v>8</v>
      </c>
    </row>
    <row r="610" spans="1:5" ht="12.75" customHeight="1" x14ac:dyDescent="0.3">
      <c r="A610" s="2" t="s">
        <v>1248</v>
      </c>
      <c r="B610" s="2" t="s">
        <v>10</v>
      </c>
      <c r="C610" s="3" t="str">
        <f>HYPERLINK("https://springer.com/10732")</f>
        <v>https://springer.com/10732</v>
      </c>
      <c r="D610" s="2" t="s">
        <v>1249</v>
      </c>
      <c r="E610" s="2" t="s">
        <v>8</v>
      </c>
    </row>
    <row r="611" spans="1:5" ht="12.75" customHeight="1" x14ac:dyDescent="0.3">
      <c r="A611" s="2" t="s">
        <v>1250</v>
      </c>
      <c r="B611" s="2" t="s">
        <v>218</v>
      </c>
      <c r="C611" s="3" t="str">
        <f>HYPERLINK("https://springer.com/10733")</f>
        <v>https://springer.com/10733</v>
      </c>
      <c r="D611" s="2" t="s">
        <v>1251</v>
      </c>
      <c r="E611" s="2"/>
    </row>
    <row r="612" spans="1:5" ht="12.75" customHeight="1" x14ac:dyDescent="0.3">
      <c r="A612" s="2" t="s">
        <v>1252</v>
      </c>
      <c r="B612" s="2" t="s">
        <v>753</v>
      </c>
      <c r="C612" s="3" t="str">
        <f>HYPERLINK("https://springer.com/10734")</f>
        <v>https://springer.com/10734</v>
      </c>
      <c r="D612" s="2" t="s">
        <v>1253</v>
      </c>
      <c r="E612" s="2" t="s">
        <v>8</v>
      </c>
    </row>
    <row r="613" spans="1:5" ht="12.75" customHeight="1" x14ac:dyDescent="0.3">
      <c r="A613" s="2" t="s">
        <v>1254</v>
      </c>
      <c r="B613" s="2" t="s">
        <v>6</v>
      </c>
      <c r="C613" s="3" t="str">
        <f>HYPERLINK("https://springer.com/10735")</f>
        <v>https://springer.com/10735</v>
      </c>
      <c r="D613" s="2" t="s">
        <v>1255</v>
      </c>
      <c r="E613" s="2" t="s">
        <v>8</v>
      </c>
    </row>
    <row r="614" spans="1:5" ht="12.75" customHeight="1" x14ac:dyDescent="0.3">
      <c r="A614" s="2" t="s">
        <v>1256</v>
      </c>
      <c r="B614" s="2" t="s">
        <v>74</v>
      </c>
      <c r="C614" s="3" t="str">
        <f>HYPERLINK("https://springer.com/10739")</f>
        <v>https://springer.com/10739</v>
      </c>
      <c r="D614" s="2" t="s">
        <v>1257</v>
      </c>
      <c r="E614" s="2" t="s">
        <v>8</v>
      </c>
    </row>
    <row r="615" spans="1:5" ht="12.75" customHeight="1" x14ac:dyDescent="0.3">
      <c r="A615" s="2" t="s">
        <v>1258</v>
      </c>
      <c r="B615" s="2" t="s">
        <v>13</v>
      </c>
      <c r="C615" s="3" t="str">
        <f>HYPERLINK("https://springer.com/10740")</f>
        <v>https://springer.com/10740</v>
      </c>
      <c r="D615" s="2" t="s">
        <v>1259</v>
      </c>
      <c r="E615" s="2"/>
    </row>
    <row r="616" spans="1:5" ht="12.75" customHeight="1" x14ac:dyDescent="0.3">
      <c r="A616" s="2" t="s">
        <v>1260</v>
      </c>
      <c r="B616" s="2" t="s">
        <v>78</v>
      </c>
      <c r="C616" s="3" t="str">
        <f>HYPERLINK("https://springer.com/10741")</f>
        <v>https://springer.com/10741</v>
      </c>
      <c r="D616" s="2" t="s">
        <v>1261</v>
      </c>
      <c r="E616" s="2" t="s">
        <v>8</v>
      </c>
    </row>
    <row r="617" spans="1:5" ht="12.75" customHeight="1" x14ac:dyDescent="0.3">
      <c r="A617" s="2" t="s">
        <v>1262</v>
      </c>
      <c r="B617" s="2" t="s">
        <v>78</v>
      </c>
      <c r="C617" s="3" t="str">
        <f>HYPERLINK("https://springer.com/10742")</f>
        <v>https://springer.com/10742</v>
      </c>
      <c r="D617" s="2" t="s">
        <v>1263</v>
      </c>
      <c r="E617" s="2" t="s">
        <v>8</v>
      </c>
    </row>
    <row r="618" spans="1:5" ht="12.75" customHeight="1" x14ac:dyDescent="0.3">
      <c r="A618" s="2" t="s">
        <v>1264</v>
      </c>
      <c r="B618" s="2" t="s">
        <v>868</v>
      </c>
      <c r="C618" s="3" t="str">
        <f>HYPERLINK("https://springer.com/10743")</f>
        <v>https://springer.com/10743</v>
      </c>
      <c r="D618" s="2" t="s">
        <v>1265</v>
      </c>
      <c r="E618" s="2" t="s">
        <v>8</v>
      </c>
    </row>
    <row r="619" spans="1:5" ht="12.75" customHeight="1" x14ac:dyDescent="0.3">
      <c r="A619" s="2" t="s">
        <v>1266</v>
      </c>
      <c r="B619" s="2" t="s">
        <v>794</v>
      </c>
      <c r="C619" s="3" t="str">
        <f>HYPERLINK("https://springer.com/10745")</f>
        <v>https://springer.com/10745</v>
      </c>
      <c r="D619" s="2" t="s">
        <v>1267</v>
      </c>
      <c r="E619" s="2" t="s">
        <v>8</v>
      </c>
    </row>
    <row r="620" spans="1:5" ht="12.75" customHeight="1" x14ac:dyDescent="0.3">
      <c r="A620" s="2" t="s">
        <v>1268</v>
      </c>
      <c r="B620" s="2" t="s">
        <v>868</v>
      </c>
      <c r="C620" s="3" t="str">
        <f>HYPERLINK("https://springer.com/10746")</f>
        <v>https://springer.com/10746</v>
      </c>
      <c r="D620" s="2" t="s">
        <v>1269</v>
      </c>
      <c r="E620" s="2" t="s">
        <v>8</v>
      </c>
    </row>
    <row r="621" spans="1:5" ht="12.75" customHeight="1" x14ac:dyDescent="0.3">
      <c r="A621" s="2" t="s">
        <v>1270</v>
      </c>
      <c r="B621" s="2" t="s">
        <v>6</v>
      </c>
      <c r="C621" s="3" t="str">
        <f>HYPERLINK("https://springer.com/10747")</f>
        <v>https://springer.com/10747</v>
      </c>
      <c r="D621" s="2" t="s">
        <v>1271</v>
      </c>
      <c r="E621" s="2"/>
    </row>
    <row r="622" spans="1:5" ht="12.75" customHeight="1" x14ac:dyDescent="0.3">
      <c r="A622" s="2" t="s">
        <v>1273</v>
      </c>
      <c r="B622" s="2" t="s">
        <v>6</v>
      </c>
      <c r="C622" s="3" t="str">
        <f>HYPERLINK("https://springer.com/10750")</f>
        <v>https://springer.com/10750</v>
      </c>
      <c r="D622" s="2" t="s">
        <v>1274</v>
      </c>
      <c r="E622" s="2" t="s">
        <v>8</v>
      </c>
    </row>
    <row r="623" spans="1:5" ht="12.75" customHeight="1" x14ac:dyDescent="0.3">
      <c r="A623" s="2" t="s">
        <v>1275</v>
      </c>
      <c r="B623" s="2" t="s">
        <v>13</v>
      </c>
      <c r="C623" s="3" t="str">
        <f>HYPERLINK("https://springer.com/10751")</f>
        <v>https://springer.com/10751</v>
      </c>
      <c r="D623" s="2" t="s">
        <v>1276</v>
      </c>
      <c r="E623" s="2" t="s">
        <v>8</v>
      </c>
    </row>
    <row r="624" spans="1:5" ht="12.75" customHeight="1" x14ac:dyDescent="0.3">
      <c r="A624" s="2" t="s">
        <v>1277</v>
      </c>
      <c r="B624" s="2" t="s">
        <v>78</v>
      </c>
      <c r="C624" s="3" t="str">
        <f>HYPERLINK("https://springer.com/10754")</f>
        <v>https://springer.com/10754</v>
      </c>
      <c r="D624" s="2" t="s">
        <v>1278</v>
      </c>
      <c r="E624" s="2" t="s">
        <v>8</v>
      </c>
    </row>
    <row r="625" spans="1:5" ht="12.75" customHeight="1" x14ac:dyDescent="0.3">
      <c r="A625" s="2" t="s">
        <v>1279</v>
      </c>
      <c r="B625" s="2" t="s">
        <v>753</v>
      </c>
      <c r="C625" s="3" t="str">
        <f>HYPERLINK("https://springer.com/10755")</f>
        <v>https://springer.com/10755</v>
      </c>
      <c r="D625" s="2" t="s">
        <v>1280</v>
      </c>
      <c r="E625" s="2" t="s">
        <v>8</v>
      </c>
    </row>
    <row r="626" spans="1:5" ht="12.75" customHeight="1" x14ac:dyDescent="0.3">
      <c r="A626" s="2" t="s">
        <v>1281</v>
      </c>
      <c r="B626" s="2" t="s">
        <v>753</v>
      </c>
      <c r="C626" s="3" t="str">
        <f>HYPERLINK("https://springer.com/10758")</f>
        <v>https://springer.com/10758</v>
      </c>
      <c r="D626" s="2" t="s">
        <v>1282</v>
      </c>
      <c r="E626" s="2" t="s">
        <v>8</v>
      </c>
    </row>
    <row r="627" spans="1:5" ht="12.75" customHeight="1" x14ac:dyDescent="0.3">
      <c r="A627" s="2" t="s">
        <v>1283</v>
      </c>
      <c r="B627" s="2" t="s">
        <v>794</v>
      </c>
      <c r="C627" s="3" t="str">
        <f>HYPERLINK("https://springer.com/10761")</f>
        <v>https://springer.com/10761</v>
      </c>
      <c r="D627" s="2" t="s">
        <v>1284</v>
      </c>
      <c r="E627" s="2" t="s">
        <v>8</v>
      </c>
    </row>
    <row r="628" spans="1:5" ht="12.75" customHeight="1" x14ac:dyDescent="0.3">
      <c r="A628" s="2" t="s">
        <v>1285</v>
      </c>
      <c r="B628" s="2" t="s">
        <v>56</v>
      </c>
      <c r="C628" s="3" t="str">
        <f>HYPERLINK("https://springer.com/10762")</f>
        <v>https://springer.com/10762</v>
      </c>
      <c r="D628" s="2" t="s">
        <v>1286</v>
      </c>
      <c r="E628" s="2" t="s">
        <v>8</v>
      </c>
    </row>
    <row r="629" spans="1:5" ht="12.75" customHeight="1" x14ac:dyDescent="0.3">
      <c r="A629" s="2" t="s">
        <v>1287</v>
      </c>
      <c r="B629" s="2" t="s">
        <v>753</v>
      </c>
      <c r="C629" s="3" t="str">
        <f>HYPERLINK("https://springer.com/10763")</f>
        <v>https://springer.com/10763</v>
      </c>
      <c r="D629" s="2" t="s">
        <v>1288</v>
      </c>
      <c r="E629" s="2" t="s">
        <v>8</v>
      </c>
    </row>
    <row r="630" spans="1:5" ht="12.75" customHeight="1" x14ac:dyDescent="0.3">
      <c r="A630" s="2" t="s">
        <v>1289</v>
      </c>
      <c r="B630" s="2" t="s">
        <v>6</v>
      </c>
      <c r="C630" s="3" t="str">
        <f>HYPERLINK("https://springer.com/10764")</f>
        <v>https://springer.com/10764</v>
      </c>
      <c r="D630" s="2" t="s">
        <v>1290</v>
      </c>
      <c r="E630" s="2" t="s">
        <v>8</v>
      </c>
    </row>
    <row r="631" spans="1:5" ht="12.75" customHeight="1" x14ac:dyDescent="0.3">
      <c r="A631" s="2" t="s">
        <v>1291</v>
      </c>
      <c r="B631" s="2" t="s">
        <v>13</v>
      </c>
      <c r="C631" s="3" t="str">
        <f>HYPERLINK("https://springer.com/10765")</f>
        <v>https://springer.com/10765</v>
      </c>
      <c r="D631" s="2" t="s">
        <v>1292</v>
      </c>
      <c r="E631" s="2" t="s">
        <v>8</v>
      </c>
    </row>
    <row r="632" spans="1:5" ht="12.75" customHeight="1" x14ac:dyDescent="0.3">
      <c r="A632" s="2" t="s">
        <v>1293</v>
      </c>
      <c r="B632" s="2" t="s">
        <v>63</v>
      </c>
      <c r="C632" s="3" t="str">
        <f>HYPERLINK("https://springer.com/10766")</f>
        <v>https://springer.com/10766</v>
      </c>
      <c r="D632" s="2" t="s">
        <v>1294</v>
      </c>
      <c r="E632" s="2" t="s">
        <v>8</v>
      </c>
    </row>
    <row r="633" spans="1:5" ht="12.75" customHeight="1" x14ac:dyDescent="0.3">
      <c r="A633" s="2" t="s">
        <v>1295</v>
      </c>
      <c r="B633" s="2" t="s">
        <v>794</v>
      </c>
      <c r="C633" s="3" t="str">
        <f>HYPERLINK("https://springer.com/10767")</f>
        <v>https://springer.com/10767</v>
      </c>
      <c r="D633" s="2" t="s">
        <v>1296</v>
      </c>
      <c r="E633" s="2" t="s">
        <v>8</v>
      </c>
    </row>
    <row r="634" spans="1:5" ht="12.75" customHeight="1" x14ac:dyDescent="0.3">
      <c r="A634" s="2" t="s">
        <v>1297</v>
      </c>
      <c r="B634" s="2" t="s">
        <v>56</v>
      </c>
      <c r="C634" s="3" t="str">
        <f>HYPERLINK("https://springer.com/10772")</f>
        <v>https://springer.com/10772</v>
      </c>
      <c r="D634" s="2" t="s">
        <v>1298</v>
      </c>
      <c r="E634" s="2" t="s">
        <v>8</v>
      </c>
    </row>
    <row r="635" spans="1:5" ht="12.75" customHeight="1" x14ac:dyDescent="0.3">
      <c r="A635" s="2" t="s">
        <v>1299</v>
      </c>
      <c r="B635" s="2" t="s">
        <v>13</v>
      </c>
      <c r="C635" s="3" t="str">
        <f>HYPERLINK("https://springer.com/10773")</f>
        <v>https://springer.com/10773</v>
      </c>
      <c r="D635" s="2" t="s">
        <v>1300</v>
      </c>
      <c r="E635" s="2" t="s">
        <v>8</v>
      </c>
    </row>
    <row r="636" spans="1:5" ht="12.75" customHeight="1" x14ac:dyDescent="0.3">
      <c r="A636" s="2" t="s">
        <v>1301</v>
      </c>
      <c r="B636" s="2" t="s">
        <v>753</v>
      </c>
      <c r="C636" s="3" t="str">
        <f>HYPERLINK("https://springer.com/10775")</f>
        <v>https://springer.com/10775</v>
      </c>
      <c r="D636" s="2" t="s">
        <v>1302</v>
      </c>
      <c r="E636" s="2" t="s">
        <v>8</v>
      </c>
    </row>
    <row r="637" spans="1:5" ht="12.75" customHeight="1" x14ac:dyDescent="0.3">
      <c r="A637" s="2" t="s">
        <v>1303</v>
      </c>
      <c r="B637" s="2" t="s">
        <v>56</v>
      </c>
      <c r="C637" s="3" t="str">
        <f>HYPERLINK("https://springer.com/10776")</f>
        <v>https://springer.com/10776</v>
      </c>
      <c r="D637" s="2" t="s">
        <v>1304</v>
      </c>
      <c r="E637" s="2" t="s">
        <v>8</v>
      </c>
    </row>
    <row r="638" spans="1:5" ht="12.75" customHeight="1" x14ac:dyDescent="0.3">
      <c r="A638" s="2" t="s">
        <v>1305</v>
      </c>
      <c r="B638" s="2" t="s">
        <v>56</v>
      </c>
      <c r="C638" s="3" t="str">
        <f>HYPERLINK("https://springer.com/10778")</f>
        <v>https://springer.com/10778</v>
      </c>
      <c r="D638" s="2" t="s">
        <v>1306</v>
      </c>
      <c r="E638" s="2" t="s">
        <v>8</v>
      </c>
    </row>
    <row r="639" spans="1:5" ht="12.75" customHeight="1" x14ac:dyDescent="0.3">
      <c r="A639" s="2" t="s">
        <v>1307</v>
      </c>
      <c r="B639" s="2" t="s">
        <v>753</v>
      </c>
      <c r="C639" s="3" t="str">
        <f>HYPERLINK("https://springer.com/10780")</f>
        <v>https://springer.com/10780</v>
      </c>
      <c r="D639" s="2" t="s">
        <v>1308</v>
      </c>
      <c r="E639" s="2" t="s">
        <v>8</v>
      </c>
    </row>
    <row r="640" spans="1:5" ht="12.75" customHeight="1" x14ac:dyDescent="0.3">
      <c r="A640" s="2" t="s">
        <v>1309</v>
      </c>
      <c r="B640" s="2" t="s">
        <v>868</v>
      </c>
      <c r="C640" s="3" t="str">
        <f>HYPERLINK("https://springer.com/10781")</f>
        <v>https://springer.com/10781</v>
      </c>
      <c r="D640" s="2" t="s">
        <v>1310</v>
      </c>
      <c r="E640" s="2" t="s">
        <v>8</v>
      </c>
    </row>
    <row r="641" spans="1:5" ht="12.75" customHeight="1" x14ac:dyDescent="0.3">
      <c r="A641" s="2" t="s">
        <v>1311</v>
      </c>
      <c r="B641" s="2" t="s">
        <v>133</v>
      </c>
      <c r="C641" s="3" t="str">
        <f>HYPERLINK("https://springer.com/10784")</f>
        <v>https://springer.com/10784</v>
      </c>
      <c r="D641" s="2" t="s">
        <v>1312</v>
      </c>
      <c r="E641" s="2" t="s">
        <v>8</v>
      </c>
    </row>
    <row r="642" spans="1:5" ht="12.75" customHeight="1" x14ac:dyDescent="0.3">
      <c r="A642" s="2" t="s">
        <v>1313</v>
      </c>
      <c r="B642" s="2" t="s">
        <v>13</v>
      </c>
      <c r="C642" s="3" t="str">
        <f>HYPERLINK("https://springer.com/10786")</f>
        <v>https://springer.com/10786</v>
      </c>
      <c r="D642" s="2" t="s">
        <v>1314</v>
      </c>
      <c r="E642" s="2"/>
    </row>
    <row r="643" spans="1:5" ht="12.75" customHeight="1" x14ac:dyDescent="0.3">
      <c r="A643" s="2" t="s">
        <v>1315</v>
      </c>
      <c r="B643" s="2" t="s">
        <v>20</v>
      </c>
      <c r="C643" s="3" t="str">
        <f>HYPERLINK("https://springer.com/10787")</f>
        <v>https://springer.com/10787</v>
      </c>
      <c r="D643" s="2" t="s">
        <v>1316</v>
      </c>
      <c r="E643" s="2" t="s">
        <v>8</v>
      </c>
    </row>
    <row r="644" spans="1:5" ht="12.75" customHeight="1" x14ac:dyDescent="0.3">
      <c r="A644" s="2" t="s">
        <v>1317</v>
      </c>
      <c r="B644" s="2" t="s">
        <v>218</v>
      </c>
      <c r="C644" s="3" t="str">
        <f>HYPERLINK("https://springer.com/10789")</f>
        <v>https://springer.com/10789</v>
      </c>
      <c r="D644" s="2" t="s">
        <v>1318</v>
      </c>
      <c r="E644" s="2"/>
    </row>
    <row r="645" spans="1:5" ht="12.75" customHeight="1" x14ac:dyDescent="0.3">
      <c r="A645" s="2" t="s">
        <v>1319</v>
      </c>
      <c r="B645" s="2" t="s">
        <v>868</v>
      </c>
      <c r="C645" s="3" t="str">
        <f>HYPERLINK("https://springer.com/10790")</f>
        <v>https://springer.com/10790</v>
      </c>
      <c r="D645" s="2" t="s">
        <v>1320</v>
      </c>
      <c r="E645" s="2" t="s">
        <v>8</v>
      </c>
    </row>
    <row r="646" spans="1:5" ht="12.75" customHeight="1" x14ac:dyDescent="0.3">
      <c r="A646" s="2" t="s">
        <v>1321</v>
      </c>
      <c r="B646" s="2" t="s">
        <v>78</v>
      </c>
      <c r="C646" s="3" t="str">
        <f>HYPERLINK("https://springer.com/10792")</f>
        <v>https://springer.com/10792</v>
      </c>
      <c r="D646" s="2" t="s">
        <v>1322</v>
      </c>
      <c r="E646" s="2" t="s">
        <v>8</v>
      </c>
    </row>
    <row r="647" spans="1:5" ht="12.75" customHeight="1" x14ac:dyDescent="0.3">
      <c r="A647" s="2" t="s">
        <v>1323</v>
      </c>
      <c r="B647" s="2" t="s">
        <v>181</v>
      </c>
      <c r="C647" s="3" t="str">
        <f>HYPERLINK("https://springer.com/10796")</f>
        <v>https://springer.com/10796</v>
      </c>
      <c r="D647" s="2" t="s">
        <v>1324</v>
      </c>
      <c r="E647" s="2" t="s">
        <v>8</v>
      </c>
    </row>
    <row r="648" spans="1:5" ht="12.75" customHeight="1" x14ac:dyDescent="0.3">
      <c r="A648" s="2" t="s">
        <v>1325</v>
      </c>
      <c r="B648" s="2" t="s">
        <v>151</v>
      </c>
      <c r="C648" s="3" t="str">
        <f>HYPERLINK("https://springer.com/10797")</f>
        <v>https://springer.com/10797</v>
      </c>
      <c r="D648" s="2" t="s">
        <v>1326</v>
      </c>
      <c r="E648" s="2" t="s">
        <v>8</v>
      </c>
    </row>
    <row r="649" spans="1:5" ht="12.75" customHeight="1" x14ac:dyDescent="0.3">
      <c r="A649" s="2" t="s">
        <v>1327</v>
      </c>
      <c r="B649" s="2" t="s">
        <v>753</v>
      </c>
      <c r="C649" s="3" t="str">
        <f>HYPERLINK("https://springer.com/10798")</f>
        <v>https://springer.com/10798</v>
      </c>
      <c r="D649" s="2" t="s">
        <v>1328</v>
      </c>
      <c r="E649" s="2" t="s">
        <v>8</v>
      </c>
    </row>
    <row r="650" spans="1:5" ht="12.75" customHeight="1" x14ac:dyDescent="0.3">
      <c r="A650" s="2" t="s">
        <v>1329</v>
      </c>
      <c r="B650" s="2" t="s">
        <v>181</v>
      </c>
      <c r="C650" s="3" t="str">
        <f>HYPERLINK("https://springer.com/10799")</f>
        <v>https://springer.com/10799</v>
      </c>
      <c r="D650" s="2" t="s">
        <v>1330</v>
      </c>
      <c r="E650" s="2" t="s">
        <v>8</v>
      </c>
    </row>
    <row r="651" spans="1:5" ht="12.75" customHeight="1" x14ac:dyDescent="0.3">
      <c r="A651" s="2" t="s">
        <v>1331</v>
      </c>
      <c r="B651" s="2" t="s">
        <v>218</v>
      </c>
      <c r="C651" s="3" t="str">
        <f>HYPERLINK("https://springer.com/10800")</f>
        <v>https://springer.com/10800</v>
      </c>
      <c r="D651" s="2" t="s">
        <v>1332</v>
      </c>
      <c r="E651" s="2" t="s">
        <v>8</v>
      </c>
    </row>
    <row r="652" spans="1:5" ht="12.75" customHeight="1" x14ac:dyDescent="0.3">
      <c r="A652" s="2" t="s">
        <v>1333</v>
      </c>
      <c r="B652" s="2" t="s">
        <v>10</v>
      </c>
      <c r="C652" s="3" t="str">
        <f>HYPERLINK("https://springer.com/10801")</f>
        <v>https://springer.com/10801</v>
      </c>
      <c r="D652" s="2" t="s">
        <v>1334</v>
      </c>
      <c r="E652" s="2" t="s">
        <v>8</v>
      </c>
    </row>
    <row r="653" spans="1:5" ht="12.75" customHeight="1" x14ac:dyDescent="0.3">
      <c r="A653" s="2" t="s">
        <v>1335</v>
      </c>
      <c r="B653" s="2" t="s">
        <v>443</v>
      </c>
      <c r="C653" s="3" t="str">
        <f>HYPERLINK("https://springer.com/10802")</f>
        <v>https://springer.com/10802</v>
      </c>
      <c r="D653" s="2" t="s">
        <v>1336</v>
      </c>
      <c r="E653" s="2" t="s">
        <v>8</v>
      </c>
    </row>
    <row r="654" spans="1:5" ht="12.75" customHeight="1" x14ac:dyDescent="0.3">
      <c r="A654" s="2" t="s">
        <v>1337</v>
      </c>
      <c r="B654" s="2" t="s">
        <v>443</v>
      </c>
      <c r="C654" s="3" t="str">
        <f>HYPERLINK("https://springer.com/10803")</f>
        <v>https://springer.com/10803</v>
      </c>
      <c r="D654" s="2" t="s">
        <v>1338</v>
      </c>
      <c r="E654" s="2" t="s">
        <v>8</v>
      </c>
    </row>
    <row r="655" spans="1:5" ht="12.75" customHeight="1" x14ac:dyDescent="0.3">
      <c r="A655" s="2" t="s">
        <v>1339</v>
      </c>
      <c r="B655" s="2" t="s">
        <v>443</v>
      </c>
      <c r="C655" s="3" t="str">
        <f>HYPERLINK("https://springer.com/10804")</f>
        <v>https://springer.com/10804</v>
      </c>
      <c r="D655" s="2" t="s">
        <v>1340</v>
      </c>
      <c r="E655" s="2" t="s">
        <v>8</v>
      </c>
    </row>
    <row r="656" spans="1:5" ht="12.75" customHeight="1" x14ac:dyDescent="0.3">
      <c r="A656" s="2" t="s">
        <v>1341</v>
      </c>
      <c r="B656" s="2" t="s">
        <v>753</v>
      </c>
      <c r="C656" s="3" t="str">
        <f>HYPERLINK("https://springer.com/10805")</f>
        <v>https://springer.com/10805</v>
      </c>
      <c r="D656" s="2" t="s">
        <v>1342</v>
      </c>
      <c r="E656" s="2" t="s">
        <v>8</v>
      </c>
    </row>
    <row r="657" spans="1:5" ht="12.75" customHeight="1" x14ac:dyDescent="0.3">
      <c r="A657" s="2" t="s">
        <v>1343</v>
      </c>
      <c r="B657" s="2" t="s">
        <v>868</v>
      </c>
      <c r="C657" s="3" t="str">
        <f>HYPERLINK("https://springer.com/10806")</f>
        <v>https://springer.com/10806</v>
      </c>
      <c r="D657" s="2" t="s">
        <v>1344</v>
      </c>
      <c r="E657" s="2" t="s">
        <v>8</v>
      </c>
    </row>
    <row r="658" spans="1:5" ht="12.75" customHeight="1" x14ac:dyDescent="0.3">
      <c r="A658" s="2" t="s">
        <v>1345</v>
      </c>
      <c r="B658" s="2" t="s">
        <v>13</v>
      </c>
      <c r="C658" s="3" t="str">
        <f>HYPERLINK("https://springer.com/10808")</f>
        <v>https://springer.com/10808</v>
      </c>
      <c r="D658" s="2" t="s">
        <v>1346</v>
      </c>
      <c r="E658" s="2"/>
    </row>
    <row r="659" spans="1:5" ht="12.75" customHeight="1" x14ac:dyDescent="0.3">
      <c r="A659" s="2" t="s">
        <v>1347</v>
      </c>
      <c r="B659" s="2" t="s">
        <v>218</v>
      </c>
      <c r="C659" s="3" t="str">
        <f>HYPERLINK("https://springer.com/10809")</f>
        <v>https://springer.com/10809</v>
      </c>
      <c r="D659" s="2" t="s">
        <v>1348</v>
      </c>
      <c r="E659" s="2"/>
    </row>
    <row r="660" spans="1:5" ht="12.75" customHeight="1" x14ac:dyDescent="0.3">
      <c r="A660" s="2" t="s">
        <v>1349</v>
      </c>
      <c r="B660" s="2" t="s">
        <v>6</v>
      </c>
      <c r="C660" s="3" t="str">
        <f>HYPERLINK("https://springer.com/10811")</f>
        <v>https://springer.com/10811</v>
      </c>
      <c r="D660" s="2" t="s">
        <v>1350</v>
      </c>
      <c r="E660" s="2" t="s">
        <v>8</v>
      </c>
    </row>
    <row r="661" spans="1:5" ht="12.75" customHeight="1" x14ac:dyDescent="0.3">
      <c r="A661" s="2" t="s">
        <v>1351</v>
      </c>
      <c r="B661" s="2" t="s">
        <v>794</v>
      </c>
      <c r="C661" s="3" t="str">
        <f>HYPERLINK("https://springer.com/10814")</f>
        <v>https://springer.com/10814</v>
      </c>
      <c r="D661" s="2" t="s">
        <v>1352</v>
      </c>
      <c r="E661" s="2" t="s">
        <v>8</v>
      </c>
    </row>
    <row r="662" spans="1:5" ht="12.75" customHeight="1" x14ac:dyDescent="0.3">
      <c r="A662" s="2" t="s">
        <v>1353</v>
      </c>
      <c r="B662" s="2" t="s">
        <v>78</v>
      </c>
      <c r="C662" s="3" t="str">
        <f>HYPERLINK("https://springer.com/10815")</f>
        <v>https://springer.com/10815</v>
      </c>
      <c r="D662" s="2" t="s">
        <v>1354</v>
      </c>
      <c r="E662" s="2" t="s">
        <v>8</v>
      </c>
    </row>
    <row r="663" spans="1:5" ht="12.75" customHeight="1" x14ac:dyDescent="0.3">
      <c r="A663" s="2" t="s">
        <v>1355</v>
      </c>
      <c r="B663" s="2" t="s">
        <v>794</v>
      </c>
      <c r="C663" s="3" t="str">
        <f>HYPERLINK("https://springer.com/10816")</f>
        <v>https://springer.com/10816</v>
      </c>
      <c r="D663" s="2" t="s">
        <v>1356</v>
      </c>
      <c r="E663" s="2" t="s">
        <v>8</v>
      </c>
    </row>
    <row r="664" spans="1:5" ht="12.75" customHeight="1" x14ac:dyDescent="0.3">
      <c r="A664" s="2" t="s">
        <v>1357</v>
      </c>
      <c r="B664" s="2" t="s">
        <v>63</v>
      </c>
      <c r="C664" s="3" t="str">
        <f>HYPERLINK("https://springer.com/10817")</f>
        <v>https://springer.com/10817</v>
      </c>
      <c r="D664" s="2" t="s">
        <v>1358</v>
      </c>
      <c r="E664" s="2" t="s">
        <v>8</v>
      </c>
    </row>
    <row r="665" spans="1:5" ht="12.75" customHeight="1" x14ac:dyDescent="0.3">
      <c r="A665" s="2" t="s">
        <v>1359</v>
      </c>
      <c r="B665" s="2" t="s">
        <v>218</v>
      </c>
      <c r="C665" s="3" t="str">
        <f>HYPERLINK("https://springer.com/10822")</f>
        <v>https://springer.com/10822</v>
      </c>
      <c r="D665" s="2" t="s">
        <v>1360</v>
      </c>
      <c r="E665" s="2" t="s">
        <v>8</v>
      </c>
    </row>
    <row r="666" spans="1:5" ht="12.75" customHeight="1" x14ac:dyDescent="0.3">
      <c r="A666" s="2" t="s">
        <v>1361</v>
      </c>
      <c r="B666" s="2" t="s">
        <v>794</v>
      </c>
      <c r="C666" s="3" t="str">
        <f>HYPERLINK("https://springer.com/10823")</f>
        <v>https://springer.com/10823</v>
      </c>
      <c r="D666" s="2" t="s">
        <v>1362</v>
      </c>
      <c r="E666" s="2" t="s">
        <v>8</v>
      </c>
    </row>
    <row r="667" spans="1:5" ht="12.75" customHeight="1" x14ac:dyDescent="0.3">
      <c r="A667" s="2" t="s">
        <v>1363</v>
      </c>
      <c r="B667" s="2" t="s">
        <v>151</v>
      </c>
      <c r="C667" s="3" t="str">
        <f>HYPERLINK("https://springer.com/10824")</f>
        <v>https://springer.com/10824</v>
      </c>
      <c r="D667" s="2" t="s">
        <v>1364</v>
      </c>
      <c r="E667" s="2" t="s">
        <v>8</v>
      </c>
    </row>
    <row r="668" spans="1:5" ht="12.75" customHeight="1" x14ac:dyDescent="0.3">
      <c r="A668" s="2" t="s">
        <v>1365</v>
      </c>
      <c r="B668" s="2" t="s">
        <v>56</v>
      </c>
      <c r="C668" s="3" t="str">
        <f>HYPERLINK("https://springer.com/10825")</f>
        <v>https://springer.com/10825</v>
      </c>
      <c r="D668" s="2" t="s">
        <v>1366</v>
      </c>
      <c r="E668" s="2" t="s">
        <v>8</v>
      </c>
    </row>
    <row r="669" spans="1:5" ht="12.75" customHeight="1" x14ac:dyDescent="0.3">
      <c r="A669" s="2" t="s">
        <v>1367</v>
      </c>
      <c r="B669" s="2" t="s">
        <v>443</v>
      </c>
      <c r="C669" s="3" t="str">
        <f>HYPERLINK("https://springer.com/10826")</f>
        <v>https://springer.com/10826</v>
      </c>
      <c r="D669" s="2" t="s">
        <v>1368</v>
      </c>
      <c r="E669" s="2" t="s">
        <v>8</v>
      </c>
    </row>
    <row r="670" spans="1:5" ht="12.75" customHeight="1" x14ac:dyDescent="0.3">
      <c r="A670" s="2" t="s">
        <v>1369</v>
      </c>
      <c r="B670" s="2" t="s">
        <v>20</v>
      </c>
      <c r="C670" s="3" t="str">
        <f>HYPERLINK("https://springer.com/10827")</f>
        <v>https://springer.com/10827</v>
      </c>
      <c r="D670" s="2" t="s">
        <v>1370</v>
      </c>
      <c r="E670" s="2" t="s">
        <v>8</v>
      </c>
    </row>
    <row r="671" spans="1:5" ht="12.75" customHeight="1" x14ac:dyDescent="0.3">
      <c r="A671" s="2" t="s">
        <v>1371</v>
      </c>
      <c r="B671" s="2" t="s">
        <v>1030</v>
      </c>
      <c r="C671" s="3" t="str">
        <f>HYPERLINK("https://springer.com/10831")</f>
        <v>https://springer.com/10831</v>
      </c>
      <c r="D671" s="2" t="s">
        <v>1372</v>
      </c>
      <c r="E671" s="2" t="s">
        <v>8</v>
      </c>
    </row>
    <row r="672" spans="1:5" ht="12.75" customHeight="1" x14ac:dyDescent="0.3">
      <c r="A672" s="2" t="s">
        <v>1373</v>
      </c>
      <c r="B672" s="2" t="s">
        <v>396</v>
      </c>
      <c r="C672" s="3" t="str">
        <f>HYPERLINK("https://springer.com/10832")</f>
        <v>https://springer.com/10832</v>
      </c>
      <c r="D672" s="2" t="s">
        <v>1374</v>
      </c>
      <c r="E672" s="2" t="s">
        <v>8</v>
      </c>
    </row>
    <row r="673" spans="1:5" ht="12.75" customHeight="1" x14ac:dyDescent="0.3">
      <c r="A673" s="2" t="s">
        <v>1375</v>
      </c>
      <c r="B673" s="2" t="s">
        <v>753</v>
      </c>
      <c r="C673" s="3" t="str">
        <f>HYPERLINK("https://springer.com/10833")</f>
        <v>https://springer.com/10833</v>
      </c>
      <c r="D673" s="2" t="s">
        <v>1376</v>
      </c>
      <c r="E673" s="2" t="s">
        <v>8</v>
      </c>
    </row>
    <row r="674" spans="1:5" ht="12.75" customHeight="1" x14ac:dyDescent="0.3">
      <c r="A674" s="2" t="s">
        <v>1377</v>
      </c>
      <c r="B674" s="2" t="s">
        <v>794</v>
      </c>
      <c r="C674" s="3" t="str">
        <f>HYPERLINK("https://springer.com/10834")</f>
        <v>https://springer.com/10834</v>
      </c>
      <c r="D674" s="2" t="s">
        <v>1378</v>
      </c>
      <c r="E674" s="2" t="s">
        <v>8</v>
      </c>
    </row>
    <row r="675" spans="1:5" ht="12.75" customHeight="1" x14ac:dyDescent="0.3">
      <c r="A675" s="2" t="s">
        <v>1379</v>
      </c>
      <c r="B675" s="2" t="s">
        <v>74</v>
      </c>
      <c r="C675" s="3" t="str">
        <f>HYPERLINK("https://springer.com/10835")</f>
        <v>https://springer.com/10835</v>
      </c>
      <c r="D675" s="2" t="s">
        <v>1380</v>
      </c>
      <c r="E675" s="2" t="s">
        <v>8</v>
      </c>
    </row>
    <row r="676" spans="1:5" ht="12.75" customHeight="1" x14ac:dyDescent="0.3">
      <c r="A676" s="2" t="s">
        <v>1381</v>
      </c>
      <c r="B676" s="2" t="s">
        <v>56</v>
      </c>
      <c r="C676" s="3" t="str">
        <f>HYPERLINK("https://springer.com/10836")</f>
        <v>https://springer.com/10836</v>
      </c>
      <c r="D676" s="2" t="s">
        <v>1382</v>
      </c>
      <c r="E676" s="2" t="s">
        <v>8</v>
      </c>
    </row>
    <row r="677" spans="1:5" ht="12.75" customHeight="1" x14ac:dyDescent="0.3">
      <c r="A677" s="2" t="s">
        <v>1383</v>
      </c>
      <c r="B677" s="2" t="s">
        <v>868</v>
      </c>
      <c r="C677" s="3" t="str">
        <f>HYPERLINK("https://springer.com/10838")</f>
        <v>https://springer.com/10838</v>
      </c>
      <c r="D677" s="2" t="s">
        <v>1384</v>
      </c>
      <c r="E677" s="2" t="s">
        <v>8</v>
      </c>
    </row>
    <row r="678" spans="1:5" ht="12.75" customHeight="1" x14ac:dyDescent="0.3">
      <c r="A678" s="2" t="s">
        <v>1385</v>
      </c>
      <c r="B678" s="2" t="s">
        <v>78</v>
      </c>
      <c r="C678" s="3" t="str">
        <f>HYPERLINK("https://springer.com/10840")</f>
        <v>https://springer.com/10840</v>
      </c>
      <c r="D678" s="2" t="s">
        <v>1386</v>
      </c>
      <c r="E678" s="2" t="s">
        <v>8</v>
      </c>
    </row>
    <row r="679" spans="1:5" ht="12.75" customHeight="1" x14ac:dyDescent="0.3">
      <c r="A679" s="2" t="s">
        <v>1387</v>
      </c>
      <c r="B679" s="2" t="s">
        <v>6</v>
      </c>
      <c r="C679" s="3" t="str">
        <f>HYPERLINK("https://springer.com/10841")</f>
        <v>https://springer.com/10841</v>
      </c>
      <c r="D679" s="2" t="s">
        <v>1388</v>
      </c>
      <c r="E679" s="2" t="s">
        <v>8</v>
      </c>
    </row>
    <row r="680" spans="1:5" ht="12.75" customHeight="1" x14ac:dyDescent="0.3">
      <c r="A680" s="2" t="s">
        <v>1389</v>
      </c>
      <c r="B680" s="2" t="s">
        <v>151</v>
      </c>
      <c r="C680" s="3" t="str">
        <f>HYPERLINK("https://springer.com/10842")</f>
        <v>https://springer.com/10842</v>
      </c>
      <c r="D680" s="2" t="s">
        <v>1390</v>
      </c>
      <c r="E680" s="2" t="s">
        <v>8</v>
      </c>
    </row>
    <row r="681" spans="1:5" ht="12.75" customHeight="1" x14ac:dyDescent="0.3">
      <c r="A681" s="2" t="s">
        <v>1391</v>
      </c>
      <c r="B681" s="2" t="s">
        <v>181</v>
      </c>
      <c r="C681" s="3" t="str">
        <f>HYPERLINK("https://springer.com/10843")</f>
        <v>https://springer.com/10843</v>
      </c>
      <c r="D681" s="2" t="s">
        <v>1392</v>
      </c>
      <c r="E681" s="2" t="s">
        <v>8</v>
      </c>
    </row>
    <row r="682" spans="1:5" ht="12.75" customHeight="1" x14ac:dyDescent="0.3">
      <c r="A682" s="2" t="s">
        <v>1393</v>
      </c>
      <c r="B682" s="2" t="s">
        <v>63</v>
      </c>
      <c r="C682" s="3" t="str">
        <f>HYPERLINK("https://springer.com/10844")</f>
        <v>https://springer.com/10844</v>
      </c>
      <c r="D682" s="2" t="s">
        <v>1394</v>
      </c>
      <c r="E682" s="2" t="s">
        <v>8</v>
      </c>
    </row>
    <row r="683" spans="1:5" ht="12.75" customHeight="1" x14ac:dyDescent="0.3">
      <c r="A683" s="2" t="s">
        <v>1395</v>
      </c>
      <c r="B683" s="2" t="s">
        <v>181</v>
      </c>
      <c r="C683" s="3" t="str">
        <f>HYPERLINK("https://springer.com/10845")</f>
        <v>https://springer.com/10845</v>
      </c>
      <c r="D683" s="2" t="s">
        <v>1396</v>
      </c>
      <c r="E683" s="2" t="s">
        <v>8</v>
      </c>
    </row>
    <row r="684" spans="1:5" ht="12.75" customHeight="1" x14ac:dyDescent="0.3">
      <c r="A684" s="2" t="s">
        <v>1397</v>
      </c>
      <c r="B684" s="2" t="s">
        <v>218</v>
      </c>
      <c r="C684" s="3" t="str">
        <f>HYPERLINK("https://springer.com/10847")</f>
        <v>https://springer.com/10847</v>
      </c>
      <c r="D684" s="2" t="s">
        <v>1398</v>
      </c>
      <c r="E684" s="2" t="s">
        <v>8</v>
      </c>
    </row>
    <row r="685" spans="1:5" ht="12.75" customHeight="1" x14ac:dyDescent="0.3">
      <c r="A685" s="2" t="s">
        <v>1399</v>
      </c>
      <c r="B685" s="2" t="s">
        <v>868</v>
      </c>
      <c r="C685" s="3" t="str">
        <f>HYPERLINK("https://springer.com/10849")</f>
        <v>https://springer.com/10849</v>
      </c>
      <c r="D685" s="2" t="s">
        <v>1400</v>
      </c>
      <c r="E685" s="2" t="s">
        <v>8</v>
      </c>
    </row>
    <row r="686" spans="1:5" ht="12.75" customHeight="1" x14ac:dyDescent="0.3">
      <c r="A686" s="2" t="s">
        <v>1401</v>
      </c>
      <c r="B686" s="2" t="s">
        <v>63</v>
      </c>
      <c r="C686" s="3" t="str">
        <f>HYPERLINK("https://springer.com/10851")</f>
        <v>https://springer.com/10851</v>
      </c>
      <c r="D686" s="2" t="s">
        <v>1402</v>
      </c>
      <c r="E686" s="2" t="s">
        <v>8</v>
      </c>
    </row>
    <row r="687" spans="1:5" ht="12.75" customHeight="1" x14ac:dyDescent="0.3">
      <c r="A687" s="2" t="s">
        <v>1403</v>
      </c>
      <c r="B687" s="2" t="s">
        <v>396</v>
      </c>
      <c r="C687" s="3" t="str">
        <f>HYPERLINK("https://springer.com/10853")</f>
        <v>https://springer.com/10853</v>
      </c>
      <c r="D687" s="2" t="s">
        <v>1404</v>
      </c>
      <c r="E687" s="2" t="s">
        <v>8</v>
      </c>
    </row>
    <row r="688" spans="1:5" ht="12.75" customHeight="1" x14ac:dyDescent="0.3">
      <c r="A688" s="2" t="s">
        <v>1405</v>
      </c>
      <c r="B688" s="2" t="s">
        <v>396</v>
      </c>
      <c r="C688" s="3" t="str">
        <f>HYPERLINK("https://springer.com/10854")</f>
        <v>https://springer.com/10854</v>
      </c>
      <c r="D688" s="2" t="s">
        <v>1406</v>
      </c>
      <c r="E688" s="2" t="s">
        <v>8</v>
      </c>
    </row>
    <row r="689" spans="1:5" ht="12.75" customHeight="1" x14ac:dyDescent="0.3">
      <c r="A689" s="2" t="s">
        <v>1407</v>
      </c>
      <c r="B689" s="2" t="s">
        <v>753</v>
      </c>
      <c r="C689" s="3" t="str">
        <f>HYPERLINK("https://springer.com/10857")</f>
        <v>https://springer.com/10857</v>
      </c>
      <c r="D689" s="2" t="s">
        <v>1408</v>
      </c>
      <c r="E689" s="2" t="s">
        <v>8</v>
      </c>
    </row>
    <row r="690" spans="1:5" ht="12.75" customHeight="1" x14ac:dyDescent="0.3">
      <c r="A690" s="2" t="s">
        <v>1409</v>
      </c>
      <c r="B690" s="2" t="s">
        <v>13</v>
      </c>
      <c r="C690" s="3" t="str">
        <f>HYPERLINK("https://springer.com/10858")</f>
        <v>https://springer.com/10858</v>
      </c>
      <c r="D690" s="2" t="s">
        <v>1410</v>
      </c>
      <c r="E690" s="2" t="s">
        <v>8</v>
      </c>
    </row>
    <row r="691" spans="1:5" ht="12.75" customHeight="1" x14ac:dyDescent="0.3">
      <c r="A691" s="2" t="s">
        <v>1411</v>
      </c>
      <c r="B691" s="2" t="s">
        <v>443</v>
      </c>
      <c r="C691" s="3" t="str">
        <f>HYPERLINK("https://springer.com/10862")</f>
        <v>https://springer.com/10862</v>
      </c>
      <c r="D691" s="2" t="s">
        <v>1412</v>
      </c>
      <c r="E691" s="2" t="s">
        <v>8</v>
      </c>
    </row>
    <row r="692" spans="1:5" ht="12.75" customHeight="1" x14ac:dyDescent="0.3">
      <c r="A692" s="2" t="s">
        <v>1413</v>
      </c>
      <c r="B692" s="2" t="s">
        <v>218</v>
      </c>
      <c r="C692" s="3" t="str">
        <f>HYPERLINK("https://springer.com/10863")</f>
        <v>https://springer.com/10863</v>
      </c>
      <c r="D692" s="2" t="s">
        <v>1414</v>
      </c>
      <c r="E692" s="2" t="s">
        <v>8</v>
      </c>
    </row>
    <row r="693" spans="1:5" ht="12.75" customHeight="1" x14ac:dyDescent="0.3">
      <c r="A693" s="2" t="s">
        <v>1415</v>
      </c>
      <c r="B693" s="2" t="s">
        <v>443</v>
      </c>
      <c r="C693" s="3" t="str">
        <f>HYPERLINK("https://springer.com/10864")</f>
        <v>https://springer.com/10864</v>
      </c>
      <c r="D693" s="2" t="s">
        <v>1416</v>
      </c>
      <c r="E693" s="2" t="s">
        <v>8</v>
      </c>
    </row>
    <row r="694" spans="1:5" ht="12.75" customHeight="1" x14ac:dyDescent="0.3">
      <c r="A694" s="2" t="s">
        <v>1417</v>
      </c>
      <c r="B694" s="2" t="s">
        <v>78</v>
      </c>
      <c r="C694" s="3" t="str">
        <f>HYPERLINK("https://springer.com/10865")</f>
        <v>https://springer.com/10865</v>
      </c>
      <c r="D694" s="2" t="s">
        <v>1418</v>
      </c>
      <c r="E694" s="2" t="s">
        <v>8</v>
      </c>
    </row>
    <row r="695" spans="1:5" ht="12.75" customHeight="1" x14ac:dyDescent="0.3">
      <c r="A695" s="2" t="s">
        <v>1419</v>
      </c>
      <c r="B695" s="2" t="s">
        <v>13</v>
      </c>
      <c r="C695" s="3" t="str">
        <f>HYPERLINK("https://springer.com/10867")</f>
        <v>https://springer.com/10867</v>
      </c>
      <c r="D695" s="2" t="s">
        <v>1420</v>
      </c>
      <c r="E695" s="2" t="s">
        <v>8</v>
      </c>
    </row>
    <row r="696" spans="1:5" ht="12.75" customHeight="1" x14ac:dyDescent="0.3">
      <c r="A696" s="2" t="s">
        <v>1421</v>
      </c>
      <c r="B696" s="2" t="s">
        <v>443</v>
      </c>
      <c r="C696" s="3" t="str">
        <f>HYPERLINK("https://springer.com/10869")</f>
        <v>https://springer.com/10869</v>
      </c>
      <c r="D696" s="2" t="s">
        <v>1422</v>
      </c>
      <c r="E696" s="2" t="s">
        <v>8</v>
      </c>
    </row>
    <row r="697" spans="1:5" ht="12.75" customHeight="1" x14ac:dyDescent="0.3">
      <c r="A697" s="2" t="s">
        <v>1423</v>
      </c>
      <c r="B697" s="2" t="s">
        <v>218</v>
      </c>
      <c r="C697" s="3" t="str">
        <f>HYPERLINK("https://springer.com/10870")</f>
        <v>https://springer.com/10870</v>
      </c>
      <c r="D697" s="2" t="s">
        <v>1424</v>
      </c>
      <c r="E697" s="2" t="s">
        <v>8</v>
      </c>
    </row>
    <row r="698" spans="1:5" ht="12.75" customHeight="1" x14ac:dyDescent="0.3">
      <c r="A698" s="2" t="s">
        <v>1425</v>
      </c>
      <c r="B698" s="2" t="s">
        <v>26</v>
      </c>
      <c r="C698" s="3" t="str">
        <f>HYPERLINK("https://springer.com/10872")</f>
        <v>https://springer.com/10872</v>
      </c>
      <c r="D698" s="2" t="s">
        <v>1426</v>
      </c>
      <c r="E698" s="2" t="s">
        <v>8</v>
      </c>
    </row>
    <row r="699" spans="1:5" ht="12.75" customHeight="1" x14ac:dyDescent="0.3">
      <c r="A699" s="2" t="s">
        <v>1427</v>
      </c>
      <c r="B699" s="2" t="s">
        <v>26</v>
      </c>
      <c r="C699" s="3" t="str">
        <f>HYPERLINK("https://springer.com/10874")</f>
        <v>https://springer.com/10874</v>
      </c>
      <c r="D699" s="2" t="s">
        <v>1428</v>
      </c>
      <c r="E699" s="2" t="s">
        <v>8</v>
      </c>
    </row>
    <row r="700" spans="1:5" ht="12.75" customHeight="1" x14ac:dyDescent="0.3">
      <c r="A700" s="2" t="s">
        <v>1429</v>
      </c>
      <c r="B700" s="2" t="s">
        <v>218</v>
      </c>
      <c r="C700" s="3" t="str">
        <f>HYPERLINK("https://springer.com/10876")</f>
        <v>https://springer.com/10876</v>
      </c>
      <c r="D700" s="2" t="s">
        <v>1430</v>
      </c>
      <c r="E700" s="2" t="s">
        <v>8</v>
      </c>
    </row>
    <row r="701" spans="1:5" ht="12.75" customHeight="1" x14ac:dyDescent="0.3">
      <c r="A701" s="2" t="s">
        <v>1431</v>
      </c>
      <c r="B701" s="2" t="s">
        <v>78</v>
      </c>
      <c r="C701" s="3" t="str">
        <f>HYPERLINK("https://springer.com/10877")</f>
        <v>https://springer.com/10877</v>
      </c>
      <c r="D701" s="2" t="s">
        <v>1432</v>
      </c>
      <c r="E701" s="2" t="s">
        <v>8</v>
      </c>
    </row>
    <row r="702" spans="1:5" ht="12.75" customHeight="1" x14ac:dyDescent="0.3">
      <c r="A702" s="2" t="s">
        <v>1433</v>
      </c>
      <c r="B702" s="2" t="s">
        <v>10</v>
      </c>
      <c r="C702" s="3" t="str">
        <f>HYPERLINK("https://springer.com/10878")</f>
        <v>https://springer.com/10878</v>
      </c>
      <c r="D702" s="2" t="s">
        <v>1434</v>
      </c>
      <c r="E702" s="2" t="s">
        <v>8</v>
      </c>
    </row>
    <row r="703" spans="1:5" ht="12.75" customHeight="1" x14ac:dyDescent="0.3">
      <c r="A703" s="2" t="s">
        <v>1435</v>
      </c>
      <c r="B703" s="2" t="s">
        <v>78</v>
      </c>
      <c r="C703" s="3" t="str">
        <f>HYPERLINK("https://springer.com/10879")</f>
        <v>https://springer.com/10879</v>
      </c>
      <c r="D703" s="2" t="s">
        <v>1436</v>
      </c>
      <c r="E703" s="2" t="s">
        <v>8</v>
      </c>
    </row>
    <row r="704" spans="1:5" ht="12.75" customHeight="1" x14ac:dyDescent="0.3">
      <c r="A704" s="2" t="s">
        <v>1437</v>
      </c>
      <c r="B704" s="2" t="s">
        <v>78</v>
      </c>
      <c r="C704" s="3" t="str">
        <f>HYPERLINK("https://springer.com/10880")</f>
        <v>https://springer.com/10880</v>
      </c>
      <c r="D704" s="2" t="s">
        <v>1438</v>
      </c>
      <c r="E704" s="2" t="s">
        <v>8</v>
      </c>
    </row>
    <row r="705" spans="1:5" ht="12.75" customHeight="1" x14ac:dyDescent="0.3">
      <c r="A705" s="2" t="s">
        <v>1439</v>
      </c>
      <c r="B705" s="2" t="s">
        <v>443</v>
      </c>
      <c r="C705" s="3" t="str">
        <f>HYPERLINK("https://springer.com/10882")</f>
        <v>https://springer.com/10882</v>
      </c>
      <c r="D705" s="2" t="s">
        <v>1440</v>
      </c>
      <c r="E705" s="2" t="s">
        <v>8</v>
      </c>
    </row>
    <row r="706" spans="1:5" ht="12.75" customHeight="1" x14ac:dyDescent="0.3">
      <c r="A706" s="2" t="s">
        <v>1441</v>
      </c>
      <c r="B706" s="2" t="s">
        <v>10</v>
      </c>
      <c r="C706" s="3" t="str">
        <f>HYPERLINK("https://springer.com/10883")</f>
        <v>https://springer.com/10883</v>
      </c>
      <c r="D706" s="2" t="s">
        <v>1442</v>
      </c>
      <c r="E706" s="2" t="s">
        <v>8</v>
      </c>
    </row>
    <row r="707" spans="1:5" ht="12.75" customHeight="1" x14ac:dyDescent="0.3">
      <c r="A707" s="2" t="s">
        <v>1443</v>
      </c>
      <c r="B707" s="2" t="s">
        <v>10</v>
      </c>
      <c r="C707" s="3" t="str">
        <f>HYPERLINK("https://springer.com/10884")</f>
        <v>https://springer.com/10884</v>
      </c>
      <c r="D707" s="2" t="s">
        <v>1444</v>
      </c>
      <c r="E707" s="2" t="s">
        <v>8</v>
      </c>
    </row>
    <row r="708" spans="1:5" ht="12.75" customHeight="1" x14ac:dyDescent="0.3">
      <c r="A708" s="2" t="s">
        <v>1445</v>
      </c>
      <c r="B708" s="2" t="s">
        <v>6</v>
      </c>
      <c r="C708" s="3" t="str">
        <f>HYPERLINK("https://springer.com/10886")</f>
        <v>https://springer.com/10886</v>
      </c>
      <c r="D708" s="2" t="s">
        <v>1446</v>
      </c>
      <c r="E708" s="2" t="s">
        <v>8</v>
      </c>
    </row>
    <row r="709" spans="1:5" ht="12.75" customHeight="1" x14ac:dyDescent="0.3">
      <c r="A709" s="2" t="s">
        <v>1447</v>
      </c>
      <c r="B709" s="2" t="s">
        <v>151</v>
      </c>
      <c r="C709" s="3" t="str">
        <f>HYPERLINK("https://springer.com/10887")</f>
        <v>https://springer.com/10887</v>
      </c>
      <c r="D709" s="2" t="s">
        <v>1448</v>
      </c>
      <c r="E709" s="2" t="s">
        <v>8</v>
      </c>
    </row>
    <row r="710" spans="1:5" ht="12.75" customHeight="1" x14ac:dyDescent="0.3">
      <c r="A710" s="2" t="s">
        <v>1449</v>
      </c>
      <c r="B710" s="2" t="s">
        <v>151</v>
      </c>
      <c r="C710" s="3" t="str">
        <f>HYPERLINK("https://springer.com/10888")</f>
        <v>https://springer.com/10888</v>
      </c>
      <c r="D710" s="2" t="s">
        <v>1450</v>
      </c>
      <c r="E710" s="2" t="s">
        <v>8</v>
      </c>
    </row>
    <row r="711" spans="1:5" ht="12.75" customHeight="1" x14ac:dyDescent="0.3">
      <c r="A711" s="2" t="s">
        <v>1451</v>
      </c>
      <c r="B711" s="2" t="s">
        <v>868</v>
      </c>
      <c r="C711" s="3" t="str">
        <f>HYPERLINK("https://springer.com/10892")</f>
        <v>https://springer.com/10892</v>
      </c>
      <c r="D711" s="2" t="s">
        <v>1452</v>
      </c>
      <c r="E711" s="2" t="s">
        <v>8</v>
      </c>
    </row>
    <row r="712" spans="1:5" ht="12.75" customHeight="1" x14ac:dyDescent="0.3">
      <c r="A712" s="2" t="s">
        <v>1453</v>
      </c>
      <c r="B712" s="2" t="s">
        <v>6</v>
      </c>
      <c r="C712" s="3" t="str">
        <f>HYPERLINK("https://springer.com/10893")</f>
        <v>https://springer.com/10893</v>
      </c>
      <c r="D712" s="2" t="s">
        <v>1454</v>
      </c>
      <c r="E712" s="2"/>
    </row>
    <row r="713" spans="1:5" ht="12.75" customHeight="1" x14ac:dyDescent="0.3">
      <c r="A713" s="2" t="s">
        <v>1455</v>
      </c>
      <c r="B713" s="2" t="s">
        <v>13</v>
      </c>
      <c r="C713" s="3" t="str">
        <f>HYPERLINK("https://springer.com/10894")</f>
        <v>https://springer.com/10894</v>
      </c>
      <c r="D713" s="2" t="s">
        <v>1456</v>
      </c>
      <c r="E713" s="2" t="s">
        <v>8</v>
      </c>
    </row>
    <row r="714" spans="1:5" ht="12.75" customHeight="1" x14ac:dyDescent="0.3">
      <c r="A714" s="2" t="s">
        <v>1457</v>
      </c>
      <c r="B714" s="2" t="s">
        <v>20</v>
      </c>
      <c r="C714" s="3" t="str">
        <f>HYPERLINK("https://springer.com/10895")</f>
        <v>https://springer.com/10895</v>
      </c>
      <c r="D714" s="2" t="s">
        <v>1458</v>
      </c>
      <c r="E714" s="2" t="s">
        <v>8</v>
      </c>
    </row>
    <row r="715" spans="1:5" ht="12.75" customHeight="1" x14ac:dyDescent="0.3">
      <c r="A715" s="2" t="s">
        <v>1459</v>
      </c>
      <c r="B715" s="2" t="s">
        <v>78</v>
      </c>
      <c r="C715" s="3" t="str">
        <f>HYPERLINK("https://springer.com/10896")</f>
        <v>https://springer.com/10896</v>
      </c>
      <c r="D715" s="2" t="s">
        <v>1460</v>
      </c>
      <c r="E715" s="2" t="s">
        <v>8</v>
      </c>
    </row>
    <row r="716" spans="1:5" ht="12.75" customHeight="1" x14ac:dyDescent="0.3">
      <c r="A716" s="2" t="s">
        <v>1461</v>
      </c>
      <c r="B716" s="2" t="s">
        <v>10</v>
      </c>
      <c r="C716" s="3" t="str">
        <f>HYPERLINK("https://springer.com/10898")</f>
        <v>https://springer.com/10898</v>
      </c>
      <c r="D716" s="2" t="s">
        <v>1462</v>
      </c>
      <c r="E716" s="2" t="s">
        <v>8</v>
      </c>
    </row>
    <row r="717" spans="1:5" ht="12.75" customHeight="1" x14ac:dyDescent="0.3">
      <c r="A717" s="2" t="s">
        <v>1463</v>
      </c>
      <c r="B717" s="2" t="s">
        <v>78</v>
      </c>
      <c r="C717" s="3" t="str">
        <f>HYPERLINK("https://springer.com/10899")</f>
        <v>https://springer.com/10899</v>
      </c>
      <c r="D717" s="2" t="s">
        <v>1464</v>
      </c>
      <c r="E717" s="2" t="s">
        <v>8</v>
      </c>
    </row>
    <row r="718" spans="1:5" ht="12.75" customHeight="1" x14ac:dyDescent="0.3">
      <c r="A718" s="2" t="s">
        <v>1465</v>
      </c>
      <c r="B718" s="2" t="s">
        <v>78</v>
      </c>
      <c r="C718" s="3" t="str">
        <f>HYPERLINK("https://springer.com/10900")</f>
        <v>https://springer.com/10900</v>
      </c>
      <c r="D718" s="2" t="s">
        <v>1466</v>
      </c>
      <c r="E718" s="2" t="s">
        <v>8</v>
      </c>
    </row>
    <row r="719" spans="1:5" ht="12.75" customHeight="1" x14ac:dyDescent="0.3">
      <c r="A719" s="2" t="s">
        <v>1467</v>
      </c>
      <c r="B719" s="2" t="s">
        <v>794</v>
      </c>
      <c r="C719" s="3" t="str">
        <f>HYPERLINK("https://springer.com/10901")</f>
        <v>https://springer.com/10901</v>
      </c>
      <c r="D719" s="2" t="s">
        <v>1468</v>
      </c>
      <c r="E719" s="2" t="s">
        <v>8</v>
      </c>
    </row>
    <row r="720" spans="1:5" ht="12.75" customHeight="1" x14ac:dyDescent="0.3">
      <c r="A720" s="2" t="s">
        <v>1469</v>
      </c>
      <c r="B720" s="2" t="s">
        <v>794</v>
      </c>
      <c r="C720" s="3" t="str">
        <f>HYPERLINK("https://springer.com/10902")</f>
        <v>https://springer.com/10902</v>
      </c>
      <c r="D720" s="2" t="s">
        <v>1470</v>
      </c>
      <c r="E720" s="2" t="s">
        <v>8</v>
      </c>
    </row>
    <row r="721" spans="1:5" ht="12.75" customHeight="1" x14ac:dyDescent="0.3">
      <c r="A721" s="2" t="s">
        <v>1471</v>
      </c>
      <c r="B721" s="2" t="s">
        <v>78</v>
      </c>
      <c r="C721" s="3" t="str">
        <f>HYPERLINK("https://springer.com/10903")</f>
        <v>https://springer.com/10903</v>
      </c>
      <c r="D721" s="2" t="s">
        <v>1472</v>
      </c>
      <c r="E721" s="2" t="s">
        <v>8</v>
      </c>
    </row>
    <row r="722" spans="1:5" ht="12.75" customHeight="1" x14ac:dyDescent="0.3">
      <c r="A722" s="2" t="s">
        <v>1473</v>
      </c>
      <c r="B722" s="2" t="s">
        <v>218</v>
      </c>
      <c r="C722" s="3" t="str">
        <f>HYPERLINK("https://springer.com/10904")</f>
        <v>https://springer.com/10904</v>
      </c>
      <c r="D722" s="2" t="s">
        <v>1474</v>
      </c>
      <c r="E722" s="2" t="s">
        <v>8</v>
      </c>
    </row>
    <row r="723" spans="1:5" ht="12.75" customHeight="1" x14ac:dyDescent="0.3">
      <c r="A723" s="2" t="s">
        <v>1475</v>
      </c>
      <c r="B723" s="2" t="s">
        <v>6</v>
      </c>
      <c r="C723" s="3" t="str">
        <f>HYPERLINK("https://springer.com/10905")</f>
        <v>https://springer.com/10905</v>
      </c>
      <c r="D723" s="2" t="s">
        <v>1476</v>
      </c>
      <c r="E723" s="2" t="s">
        <v>8</v>
      </c>
    </row>
    <row r="724" spans="1:5" ht="12.75" customHeight="1" x14ac:dyDescent="0.3">
      <c r="A724" s="2" t="s">
        <v>1477</v>
      </c>
      <c r="B724" s="2" t="s">
        <v>13</v>
      </c>
      <c r="C724" s="3" t="str">
        <f>HYPERLINK("https://springer.com/10909")</f>
        <v>https://springer.com/10909</v>
      </c>
      <c r="D724" s="2" t="s">
        <v>1478</v>
      </c>
      <c r="E724" s="2" t="s">
        <v>8</v>
      </c>
    </row>
    <row r="725" spans="1:5" ht="12.75" customHeight="1" x14ac:dyDescent="0.3">
      <c r="A725" s="2" t="s">
        <v>1479</v>
      </c>
      <c r="B725" s="2" t="s">
        <v>218</v>
      </c>
      <c r="C725" s="3" t="str">
        <f>HYPERLINK("https://springer.com/10910")</f>
        <v>https://springer.com/10910</v>
      </c>
      <c r="D725" s="2" t="s">
        <v>1480</v>
      </c>
      <c r="E725" s="2" t="s">
        <v>8</v>
      </c>
    </row>
    <row r="726" spans="1:5" ht="12.75" customHeight="1" x14ac:dyDescent="0.3">
      <c r="A726" s="2" t="s">
        <v>1481</v>
      </c>
      <c r="B726" s="2" t="s">
        <v>941</v>
      </c>
      <c r="C726" s="3" t="str">
        <f>HYPERLINK("https://springer.com/10912")</f>
        <v>https://springer.com/10912</v>
      </c>
      <c r="D726" s="2" t="s">
        <v>1482</v>
      </c>
      <c r="E726" s="2" t="s">
        <v>8</v>
      </c>
    </row>
    <row r="727" spans="1:5" ht="12.75" customHeight="1" x14ac:dyDescent="0.3">
      <c r="A727" s="2" t="s">
        <v>1483</v>
      </c>
      <c r="B727" s="2" t="s">
        <v>26</v>
      </c>
      <c r="C727" s="3" t="str">
        <f>HYPERLINK("https://springer.com/10913")</f>
        <v>https://springer.com/10913</v>
      </c>
      <c r="D727" s="2" t="s">
        <v>1484</v>
      </c>
      <c r="E727" s="2"/>
    </row>
    <row r="728" spans="1:5" ht="12.75" customHeight="1" x14ac:dyDescent="0.3">
      <c r="A728" s="2" t="s">
        <v>1485</v>
      </c>
      <c r="B728" s="2" t="s">
        <v>6</v>
      </c>
      <c r="C728" s="3" t="str">
        <f>HYPERLINK("https://springer.com/10914")</f>
        <v>https://springer.com/10914</v>
      </c>
      <c r="D728" s="2" t="s">
        <v>1486</v>
      </c>
      <c r="E728" s="2" t="s">
        <v>8</v>
      </c>
    </row>
    <row r="729" spans="1:5" ht="12.75" customHeight="1" x14ac:dyDescent="0.3">
      <c r="A729" s="2" t="s">
        <v>1487</v>
      </c>
      <c r="B729" s="2" t="s">
        <v>10</v>
      </c>
      <c r="C729" s="3" t="str">
        <f>HYPERLINK("https://springer.com/10915")</f>
        <v>https://springer.com/10915</v>
      </c>
      <c r="D729" s="2" t="s">
        <v>1488</v>
      </c>
      <c r="E729" s="2" t="s">
        <v>8</v>
      </c>
    </row>
    <row r="730" spans="1:5" ht="12.75" customHeight="1" x14ac:dyDescent="0.3">
      <c r="A730" s="2" t="s">
        <v>1489</v>
      </c>
      <c r="B730" s="2" t="s">
        <v>78</v>
      </c>
      <c r="C730" s="3" t="str">
        <f>HYPERLINK("https://springer.com/10916")</f>
        <v>https://springer.com/10916</v>
      </c>
      <c r="D730" s="2" t="s">
        <v>1490</v>
      </c>
      <c r="E730" s="2" t="s">
        <v>8</v>
      </c>
    </row>
    <row r="731" spans="1:5" ht="12.75" customHeight="1" x14ac:dyDescent="0.3">
      <c r="A731" s="2" t="s">
        <v>1491</v>
      </c>
      <c r="B731" s="2" t="s">
        <v>443</v>
      </c>
      <c r="C731" s="3" t="str">
        <f>HYPERLINK("https://springer.com/10919")</f>
        <v>https://springer.com/10919</v>
      </c>
      <c r="D731" s="2" t="s">
        <v>1492</v>
      </c>
      <c r="E731" s="2" t="s">
        <v>8</v>
      </c>
    </row>
    <row r="732" spans="1:5" ht="12.75" customHeight="1" x14ac:dyDescent="0.3">
      <c r="A732" s="2" t="s">
        <v>1493</v>
      </c>
      <c r="B732" s="2" t="s">
        <v>56</v>
      </c>
      <c r="C732" s="3" t="str">
        <f>HYPERLINK("https://springer.com/10921")</f>
        <v>https://springer.com/10921</v>
      </c>
      <c r="D732" s="2" t="s">
        <v>1494</v>
      </c>
      <c r="E732" s="2" t="s">
        <v>8</v>
      </c>
    </row>
    <row r="733" spans="1:5" ht="12.75" customHeight="1" x14ac:dyDescent="0.3">
      <c r="A733" s="2" t="s">
        <v>1495</v>
      </c>
      <c r="B733" s="2" t="s">
        <v>63</v>
      </c>
      <c r="C733" s="3" t="str">
        <f>HYPERLINK("https://springer.com/10922")</f>
        <v>https://springer.com/10922</v>
      </c>
      <c r="D733" s="2" t="s">
        <v>1496</v>
      </c>
      <c r="E733" s="2" t="s">
        <v>8</v>
      </c>
    </row>
    <row r="734" spans="1:5" ht="12.75" customHeight="1" x14ac:dyDescent="0.3">
      <c r="A734" s="2" t="s">
        <v>1497</v>
      </c>
      <c r="B734" s="2" t="s">
        <v>218</v>
      </c>
      <c r="C734" s="3" t="str">
        <f>HYPERLINK("https://springer.com/10924")</f>
        <v>https://springer.com/10924</v>
      </c>
      <c r="D734" s="2" t="s">
        <v>1498</v>
      </c>
      <c r="E734" s="2" t="s">
        <v>8</v>
      </c>
    </row>
    <row r="735" spans="1:5" ht="12.75" customHeight="1" x14ac:dyDescent="0.3">
      <c r="A735" s="2" t="s">
        <v>1499</v>
      </c>
      <c r="B735" s="2" t="s">
        <v>78</v>
      </c>
      <c r="C735" s="3" t="str">
        <f>HYPERLINK("https://springer.com/10926")</f>
        <v>https://springer.com/10926</v>
      </c>
      <c r="D735" s="2" t="s">
        <v>1500</v>
      </c>
      <c r="E735" s="2" t="s">
        <v>8</v>
      </c>
    </row>
    <row r="736" spans="1:5" ht="12.75" customHeight="1" x14ac:dyDescent="0.3">
      <c r="A736" s="2" t="s">
        <v>1501</v>
      </c>
      <c r="B736" s="2" t="s">
        <v>20</v>
      </c>
      <c r="C736" s="3" t="str">
        <f>HYPERLINK("https://springer.com/10928")</f>
        <v>https://springer.com/10928</v>
      </c>
      <c r="D736" s="2" t="s">
        <v>1502</v>
      </c>
      <c r="E736" s="2" t="s">
        <v>8</v>
      </c>
    </row>
    <row r="737" spans="1:5" ht="12.75" customHeight="1" x14ac:dyDescent="0.3">
      <c r="A737" s="2" t="s">
        <v>1503</v>
      </c>
      <c r="B737" s="2" t="s">
        <v>218</v>
      </c>
      <c r="C737" s="3" t="str">
        <f>HYPERLINK("https://springer.com/10930")</f>
        <v>https://springer.com/10930</v>
      </c>
      <c r="D737" s="2" t="s">
        <v>1504</v>
      </c>
      <c r="E737" s="2" t="s">
        <v>8</v>
      </c>
    </row>
    <row r="738" spans="1:5" ht="12.75" customHeight="1" x14ac:dyDescent="0.3">
      <c r="A738" s="2" t="s">
        <v>1505</v>
      </c>
      <c r="B738" s="2" t="s">
        <v>26</v>
      </c>
      <c r="C738" s="3" t="str">
        <f>HYPERLINK("https://springer.com/10933")</f>
        <v>https://springer.com/10933</v>
      </c>
      <c r="D738" s="2" t="s">
        <v>1506</v>
      </c>
      <c r="E738" s="2" t="s">
        <v>8</v>
      </c>
    </row>
    <row r="739" spans="1:5" ht="12.75" customHeight="1" x14ac:dyDescent="0.3">
      <c r="A739" s="2" t="s">
        <v>1507</v>
      </c>
      <c r="B739" s="2" t="s">
        <v>218</v>
      </c>
      <c r="C739" s="3" t="str">
        <f>HYPERLINK("https://springer.com/10934")</f>
        <v>https://springer.com/10934</v>
      </c>
      <c r="D739" s="2" t="s">
        <v>1508</v>
      </c>
      <c r="E739" s="2" t="s">
        <v>8</v>
      </c>
    </row>
    <row r="740" spans="1:5" ht="12.75" customHeight="1" x14ac:dyDescent="0.3">
      <c r="A740" s="2" t="s">
        <v>1509</v>
      </c>
      <c r="B740" s="2" t="s">
        <v>78</v>
      </c>
      <c r="C740" s="3" t="str">
        <f>HYPERLINK("https://springer.com/10935")</f>
        <v>https://springer.com/10935</v>
      </c>
      <c r="D740" s="2" t="s">
        <v>1510</v>
      </c>
      <c r="E740" s="2" t="s">
        <v>8</v>
      </c>
    </row>
    <row r="741" spans="1:5" ht="12.75" customHeight="1" x14ac:dyDescent="0.3">
      <c r="A741" s="2" t="s">
        <v>1511</v>
      </c>
      <c r="B741" s="2" t="s">
        <v>443</v>
      </c>
      <c r="C741" s="3" t="str">
        <f>HYPERLINK("https://springer.com/10936")</f>
        <v>https://springer.com/10936</v>
      </c>
      <c r="D741" s="2" t="s">
        <v>1512</v>
      </c>
      <c r="E741" s="2" t="s">
        <v>8</v>
      </c>
    </row>
    <row r="742" spans="1:5" ht="12.75" customHeight="1" x14ac:dyDescent="0.3">
      <c r="A742" s="2" t="s">
        <v>1513</v>
      </c>
      <c r="B742" s="2" t="s">
        <v>1076</v>
      </c>
      <c r="C742" s="3" t="str">
        <f>HYPERLINK("https://springer.com/10940")</f>
        <v>https://springer.com/10940</v>
      </c>
      <c r="D742" s="2" t="s">
        <v>1514</v>
      </c>
      <c r="E742" s="2" t="s">
        <v>8</v>
      </c>
    </row>
    <row r="743" spans="1:5" ht="12.75" customHeight="1" x14ac:dyDescent="0.3">
      <c r="A743" s="2" t="s">
        <v>1515</v>
      </c>
      <c r="B743" s="2" t="s">
        <v>443</v>
      </c>
      <c r="C743" s="3" t="str">
        <f>HYPERLINK("https://springer.com/10942")</f>
        <v>https://springer.com/10942</v>
      </c>
      <c r="D743" s="2" t="s">
        <v>1516</v>
      </c>
      <c r="E743" s="2" t="s">
        <v>8</v>
      </c>
    </row>
    <row r="744" spans="1:5" ht="12.75" customHeight="1" x14ac:dyDescent="0.3">
      <c r="A744" s="2" t="s">
        <v>1517</v>
      </c>
      <c r="B744" s="2" t="s">
        <v>78</v>
      </c>
      <c r="C744" s="3" t="str">
        <f>HYPERLINK("https://springer.com/10943")</f>
        <v>https://springer.com/10943</v>
      </c>
      <c r="D744" s="2" t="s">
        <v>1518</v>
      </c>
      <c r="E744" s="2" t="s">
        <v>8</v>
      </c>
    </row>
    <row r="745" spans="1:5" ht="12.75" customHeight="1" x14ac:dyDescent="0.3">
      <c r="A745" s="2" t="s">
        <v>1519</v>
      </c>
      <c r="B745" s="2" t="s">
        <v>13</v>
      </c>
      <c r="C745" s="3" t="str">
        <f>HYPERLINK("https://springer.com/10946")</f>
        <v>https://springer.com/10946</v>
      </c>
      <c r="D745" s="2" t="s">
        <v>1520</v>
      </c>
      <c r="E745" s="2" t="s">
        <v>8</v>
      </c>
    </row>
    <row r="746" spans="1:5" ht="12.75" customHeight="1" x14ac:dyDescent="0.3">
      <c r="A746" s="2" t="s">
        <v>1521</v>
      </c>
      <c r="B746" s="2" t="s">
        <v>218</v>
      </c>
      <c r="C746" s="3" t="str">
        <f>HYPERLINK("https://springer.com/10947")</f>
        <v>https://springer.com/10947</v>
      </c>
      <c r="D746" s="2" t="s">
        <v>1522</v>
      </c>
      <c r="E746" s="2"/>
    </row>
    <row r="747" spans="1:5" ht="12.75" customHeight="1" x14ac:dyDescent="0.3">
      <c r="A747" s="2" t="s">
        <v>1523</v>
      </c>
      <c r="B747" s="2" t="s">
        <v>13</v>
      </c>
      <c r="C747" s="3" t="str">
        <f>HYPERLINK("https://springer.com/10948")</f>
        <v>https://springer.com/10948</v>
      </c>
      <c r="D747" s="2" t="s">
        <v>1524</v>
      </c>
      <c r="E747" s="2" t="s">
        <v>8</v>
      </c>
    </row>
    <row r="748" spans="1:5" ht="12.75" customHeight="1" x14ac:dyDescent="0.3">
      <c r="A748" s="2" t="s">
        <v>1525</v>
      </c>
      <c r="B748" s="2" t="s">
        <v>26</v>
      </c>
      <c r="C748" s="3" t="str">
        <f>HYPERLINK("https://springer.com/10950")</f>
        <v>https://springer.com/10950</v>
      </c>
      <c r="D748" s="2" t="s">
        <v>1526</v>
      </c>
      <c r="E748" s="2" t="s">
        <v>8</v>
      </c>
    </row>
    <row r="749" spans="1:5" ht="12.75" customHeight="1" x14ac:dyDescent="0.3">
      <c r="A749" s="2" t="s">
        <v>1527</v>
      </c>
      <c r="B749" s="2" t="s">
        <v>181</v>
      </c>
      <c r="C749" s="3" t="str">
        <f>HYPERLINK("https://springer.com/10951")</f>
        <v>https://springer.com/10951</v>
      </c>
      <c r="D749" s="2" t="s">
        <v>1528</v>
      </c>
      <c r="E749" s="2" t="s">
        <v>8</v>
      </c>
    </row>
    <row r="750" spans="1:5" ht="12.75" customHeight="1" x14ac:dyDescent="0.3">
      <c r="A750" s="2" t="s">
        <v>1529</v>
      </c>
      <c r="B750" s="2" t="s">
        <v>218</v>
      </c>
      <c r="C750" s="3" t="str">
        <f>HYPERLINK("https://springer.com/10953")</f>
        <v>https://springer.com/10953</v>
      </c>
      <c r="D750" s="2" t="s">
        <v>1530</v>
      </c>
      <c r="E750" s="2" t="s">
        <v>8</v>
      </c>
    </row>
    <row r="751" spans="1:5" ht="12.75" customHeight="1" x14ac:dyDescent="0.3">
      <c r="A751" s="2" t="s">
        <v>1531</v>
      </c>
      <c r="B751" s="2" t="s">
        <v>13</v>
      </c>
      <c r="C751" s="3" t="str">
        <f>HYPERLINK("https://springer.com/10955")</f>
        <v>https://springer.com/10955</v>
      </c>
      <c r="D751" s="2" t="s">
        <v>1532</v>
      </c>
      <c r="E751" s="2" t="s">
        <v>8</v>
      </c>
    </row>
    <row r="752" spans="1:5" ht="12.75" customHeight="1" x14ac:dyDescent="0.3">
      <c r="A752" s="2" t="s">
        <v>1533</v>
      </c>
      <c r="B752" s="2" t="s">
        <v>753</v>
      </c>
      <c r="C752" s="3" t="str">
        <f>HYPERLINK("https://springer.com/10956")</f>
        <v>https://springer.com/10956</v>
      </c>
      <c r="D752" s="2" t="s">
        <v>1534</v>
      </c>
      <c r="E752" s="2" t="s">
        <v>8</v>
      </c>
    </row>
    <row r="753" spans="1:5" ht="12.75" customHeight="1" x14ac:dyDescent="0.3">
      <c r="A753" s="2" t="s">
        <v>1535</v>
      </c>
      <c r="B753" s="2" t="s">
        <v>10</v>
      </c>
      <c r="C753" s="3" t="str">
        <f>HYPERLINK("https://springer.com/10957")</f>
        <v>https://springer.com/10957</v>
      </c>
      <c r="D753" s="2" t="s">
        <v>1536</v>
      </c>
      <c r="E753" s="2" t="s">
        <v>8</v>
      </c>
    </row>
    <row r="754" spans="1:5" ht="12.75" customHeight="1" x14ac:dyDescent="0.3">
      <c r="A754" s="2" t="s">
        <v>1537</v>
      </c>
      <c r="B754" s="2" t="s">
        <v>10</v>
      </c>
      <c r="C754" s="3" t="str">
        <f>HYPERLINK("https://springer.com/10958")</f>
        <v>https://springer.com/10958</v>
      </c>
      <c r="D754" s="2" t="s">
        <v>1538</v>
      </c>
      <c r="E754" s="2" t="s">
        <v>8</v>
      </c>
    </row>
    <row r="755" spans="1:5" ht="12.75" customHeight="1" x14ac:dyDescent="0.3">
      <c r="A755" s="2" t="s">
        <v>1539</v>
      </c>
      <c r="B755" s="2" t="s">
        <v>10</v>
      </c>
      <c r="C755" s="3" t="str">
        <f>HYPERLINK("https://springer.com/10959")</f>
        <v>https://springer.com/10959</v>
      </c>
      <c r="D755" s="2" t="s">
        <v>1540</v>
      </c>
      <c r="E755" s="2" t="s">
        <v>8</v>
      </c>
    </row>
    <row r="756" spans="1:5" ht="12.75" customHeight="1" x14ac:dyDescent="0.3">
      <c r="A756" s="2" t="s">
        <v>1541</v>
      </c>
      <c r="B756" s="2" t="s">
        <v>181</v>
      </c>
      <c r="C756" s="3" t="str">
        <f>HYPERLINK("https://springer.com/10961")</f>
        <v>https://springer.com/10961</v>
      </c>
      <c r="D756" s="2" t="s">
        <v>1542</v>
      </c>
      <c r="E756" s="2" t="s">
        <v>8</v>
      </c>
    </row>
    <row r="757" spans="1:5" ht="12.75" customHeight="1" x14ac:dyDescent="0.3">
      <c r="A757" s="2" t="s">
        <v>1543</v>
      </c>
      <c r="B757" s="2" t="s">
        <v>794</v>
      </c>
      <c r="C757" s="3" t="str">
        <f>HYPERLINK("https://springer.com/10963")</f>
        <v>https://springer.com/10963</v>
      </c>
      <c r="D757" s="2" t="s">
        <v>1544</v>
      </c>
      <c r="E757" s="2" t="s">
        <v>8</v>
      </c>
    </row>
    <row r="758" spans="1:5" ht="12.75" customHeight="1" x14ac:dyDescent="0.3">
      <c r="A758" s="2" t="s">
        <v>1545</v>
      </c>
      <c r="B758" s="2" t="s">
        <v>443</v>
      </c>
      <c r="C758" s="3" t="str">
        <f>HYPERLINK("https://springer.com/10964")</f>
        <v>https://springer.com/10964</v>
      </c>
      <c r="D758" s="2" t="s">
        <v>1546</v>
      </c>
      <c r="E758" s="2" t="s">
        <v>8</v>
      </c>
    </row>
    <row r="759" spans="1:5" ht="12.75" customHeight="1" x14ac:dyDescent="0.3">
      <c r="A759" s="2" t="s">
        <v>1547</v>
      </c>
      <c r="B759" s="2" t="s">
        <v>218</v>
      </c>
      <c r="C759" s="3" t="str">
        <f>HYPERLINK("https://springer.com/10965")</f>
        <v>https://springer.com/10965</v>
      </c>
      <c r="D759" s="2" t="s">
        <v>1548</v>
      </c>
      <c r="E759" s="2" t="s">
        <v>8</v>
      </c>
    </row>
    <row r="760" spans="1:5" ht="12.75" customHeight="1" x14ac:dyDescent="0.3">
      <c r="A760" s="2" t="s">
        <v>1549</v>
      </c>
      <c r="B760" s="2" t="s">
        <v>218</v>
      </c>
      <c r="C760" s="3" t="str">
        <f>HYPERLINK("https://springer.com/10967")</f>
        <v>https://springer.com/10967</v>
      </c>
      <c r="D760" s="2" t="s">
        <v>1550</v>
      </c>
      <c r="E760" s="2" t="s">
        <v>8</v>
      </c>
    </row>
    <row r="761" spans="1:5" ht="12.75" customHeight="1" x14ac:dyDescent="0.3">
      <c r="A761" s="2" t="s">
        <v>1551</v>
      </c>
      <c r="B761" s="2" t="s">
        <v>396</v>
      </c>
      <c r="C761" s="3" t="str">
        <f>HYPERLINK("https://springer.com/10971")</f>
        <v>https://springer.com/10971</v>
      </c>
      <c r="D761" s="2" t="s">
        <v>1552</v>
      </c>
      <c r="E761" s="2" t="s">
        <v>8</v>
      </c>
    </row>
    <row r="762" spans="1:5" ht="12.75" customHeight="1" x14ac:dyDescent="0.3">
      <c r="A762" s="2" t="s">
        <v>1553</v>
      </c>
      <c r="B762" s="2" t="s">
        <v>218</v>
      </c>
      <c r="C762" s="3" t="str">
        <f>HYPERLINK("https://springer.com/10973")</f>
        <v>https://springer.com/10973</v>
      </c>
      <c r="D762" s="2" t="s">
        <v>1554</v>
      </c>
      <c r="E762" s="2" t="s">
        <v>8</v>
      </c>
    </row>
    <row r="763" spans="1:5" ht="12.75" customHeight="1" x14ac:dyDescent="0.3">
      <c r="A763" s="2" t="s">
        <v>1555</v>
      </c>
      <c r="B763" s="2" t="s">
        <v>6</v>
      </c>
      <c r="C763" s="3" t="str">
        <f>HYPERLINK("https://springer.com/10974")</f>
        <v>https://springer.com/10974</v>
      </c>
      <c r="D763" s="2" t="s">
        <v>1556</v>
      </c>
      <c r="E763" s="2" t="s">
        <v>8</v>
      </c>
    </row>
    <row r="764" spans="1:5" ht="12.75" customHeight="1" x14ac:dyDescent="0.3">
      <c r="A764" s="2" t="s">
        <v>1557</v>
      </c>
      <c r="B764" s="2" t="s">
        <v>218</v>
      </c>
      <c r="C764" s="3" t="str">
        <f>HYPERLINK("https://springer.com/10975")</f>
        <v>https://springer.com/10975</v>
      </c>
      <c r="D764" s="2" t="s">
        <v>1558</v>
      </c>
      <c r="E764" s="2"/>
    </row>
    <row r="765" spans="1:5" ht="12.75" customHeight="1" x14ac:dyDescent="0.3">
      <c r="A765" s="2" t="s">
        <v>1559</v>
      </c>
      <c r="B765" s="2" t="s">
        <v>868</v>
      </c>
      <c r="C765" s="3" t="str">
        <f>HYPERLINK("https://springer.com/10978")</f>
        <v>https://springer.com/10978</v>
      </c>
      <c r="D765" s="2" t="s">
        <v>1560</v>
      </c>
      <c r="E765" s="2" t="s">
        <v>8</v>
      </c>
    </row>
    <row r="766" spans="1:5" ht="12.75" customHeight="1" x14ac:dyDescent="0.3">
      <c r="A766" s="2" t="s">
        <v>1561</v>
      </c>
      <c r="B766" s="2" t="s">
        <v>347</v>
      </c>
      <c r="C766" s="3" t="str">
        <f>HYPERLINK("https://springer.com/10982")</f>
        <v>https://springer.com/10982</v>
      </c>
      <c r="D766" s="2" t="s">
        <v>1562</v>
      </c>
      <c r="E766" s="2" t="s">
        <v>8</v>
      </c>
    </row>
    <row r="767" spans="1:5" ht="12.75" customHeight="1" x14ac:dyDescent="0.3">
      <c r="A767" s="2" t="s">
        <v>1563</v>
      </c>
      <c r="B767" s="2" t="s">
        <v>753</v>
      </c>
      <c r="C767" s="3" t="str">
        <f>HYPERLINK("https://springer.com/10984")</f>
        <v>https://springer.com/10984</v>
      </c>
      <c r="D767" s="2" t="s">
        <v>1564</v>
      </c>
      <c r="E767" s="2" t="s">
        <v>8</v>
      </c>
    </row>
    <row r="768" spans="1:5" ht="12.75" customHeight="1" x14ac:dyDescent="0.3">
      <c r="A768" s="2" t="s">
        <v>1565</v>
      </c>
      <c r="B768" s="2" t="s">
        <v>170</v>
      </c>
      <c r="C768" s="3" t="str">
        <f>HYPERLINK("https://springer.com/10985")</f>
        <v>https://springer.com/10985</v>
      </c>
      <c r="D768" s="2" t="s">
        <v>1566</v>
      </c>
      <c r="E768" s="2" t="s">
        <v>8</v>
      </c>
    </row>
    <row r="769" spans="1:5" ht="12.75" customHeight="1" x14ac:dyDescent="0.3">
      <c r="A769" s="2" t="s">
        <v>1567</v>
      </c>
      <c r="B769" s="2" t="s">
        <v>10</v>
      </c>
      <c r="C769" s="3" t="str">
        <f>HYPERLINK("https://springer.com/10986")</f>
        <v>https://springer.com/10986</v>
      </c>
      <c r="D769" s="2" t="s">
        <v>1568</v>
      </c>
      <c r="E769" s="2" t="s">
        <v>8</v>
      </c>
    </row>
    <row r="770" spans="1:5" ht="12.75" customHeight="1" x14ac:dyDescent="0.3">
      <c r="A770" s="2" t="s">
        <v>1569</v>
      </c>
      <c r="B770" s="2" t="s">
        <v>26</v>
      </c>
      <c r="C770" s="3" t="str">
        <f>HYPERLINK("https://springer.com/10987")</f>
        <v>https://springer.com/10987</v>
      </c>
      <c r="D770" s="2" t="s">
        <v>1570</v>
      </c>
      <c r="E770" s="2"/>
    </row>
    <row r="771" spans="1:5" ht="12.75" customHeight="1" x14ac:dyDescent="0.3">
      <c r="A771" s="2" t="s">
        <v>1571</v>
      </c>
      <c r="B771" s="2" t="s">
        <v>1030</v>
      </c>
      <c r="C771" s="3" t="str">
        <f>HYPERLINK("https://springer.com/10988")</f>
        <v>https://springer.com/10988</v>
      </c>
      <c r="D771" s="2" t="s">
        <v>1572</v>
      </c>
      <c r="E771" s="2" t="s">
        <v>8</v>
      </c>
    </row>
    <row r="772" spans="1:5" ht="12.75" customHeight="1" x14ac:dyDescent="0.3">
      <c r="A772" s="2" t="s">
        <v>1573</v>
      </c>
      <c r="B772" s="2" t="s">
        <v>6</v>
      </c>
      <c r="C772" s="3" t="str">
        <f>HYPERLINK("https://springer.com/10989")</f>
        <v>https://springer.com/10989</v>
      </c>
      <c r="D772" s="2" t="s">
        <v>1574</v>
      </c>
      <c r="E772" s="2" t="s">
        <v>8</v>
      </c>
    </row>
    <row r="773" spans="1:5" ht="12.75" customHeight="1" x14ac:dyDescent="0.3">
      <c r="A773" s="2" t="s">
        <v>1575</v>
      </c>
      <c r="B773" s="2" t="s">
        <v>347</v>
      </c>
      <c r="C773" s="3" t="str">
        <f>HYPERLINK("https://springer.com/10991")</f>
        <v>https://springer.com/10991</v>
      </c>
      <c r="D773" s="2" t="s">
        <v>1576</v>
      </c>
      <c r="E773" s="2" t="s">
        <v>8</v>
      </c>
    </row>
    <row r="774" spans="1:5" ht="12.75" customHeight="1" x14ac:dyDescent="0.3">
      <c r="A774" s="2" t="s">
        <v>1577</v>
      </c>
      <c r="B774" s="2" t="s">
        <v>868</v>
      </c>
      <c r="C774" s="3" t="str">
        <f>HYPERLINK("https://springer.com/10992")</f>
        <v>https://springer.com/10992</v>
      </c>
      <c r="D774" s="2" t="s">
        <v>1578</v>
      </c>
      <c r="E774" s="2" t="s">
        <v>8</v>
      </c>
    </row>
    <row r="775" spans="1:5" ht="12.75" customHeight="1" x14ac:dyDescent="0.3">
      <c r="A775" s="2" t="s">
        <v>1579</v>
      </c>
      <c r="B775" s="2" t="s">
        <v>1030</v>
      </c>
      <c r="C775" s="3" t="str">
        <f>HYPERLINK("https://springer.com/10993")</f>
        <v>https://springer.com/10993</v>
      </c>
      <c r="D775" s="2" t="s">
        <v>1580</v>
      </c>
      <c r="E775" s="2" t="s">
        <v>8</v>
      </c>
    </row>
    <row r="776" spans="1:5" ht="12.75" customHeight="1" x14ac:dyDescent="0.3">
      <c r="A776" s="2" t="s">
        <v>1581</v>
      </c>
      <c r="B776" s="2" t="s">
        <v>63</v>
      </c>
      <c r="C776" s="3" t="str">
        <f>HYPERLINK("https://springer.com/10994")</f>
        <v>https://springer.com/10994</v>
      </c>
      <c r="D776" s="2" t="s">
        <v>1582</v>
      </c>
      <c r="E776" s="2" t="s">
        <v>8</v>
      </c>
    </row>
    <row r="777" spans="1:5" ht="12.75" customHeight="1" x14ac:dyDescent="0.3">
      <c r="A777" s="2" t="s">
        <v>1583</v>
      </c>
      <c r="B777" s="2" t="s">
        <v>78</v>
      </c>
      <c r="C777" s="3" t="str">
        <f>HYPERLINK("https://springer.com/10995")</f>
        <v>https://springer.com/10995</v>
      </c>
      <c r="D777" s="2" t="s">
        <v>1584</v>
      </c>
      <c r="E777" s="2" t="s">
        <v>8</v>
      </c>
    </row>
    <row r="778" spans="1:5" ht="12.75" customHeight="1" x14ac:dyDescent="0.3">
      <c r="A778" s="2" t="s">
        <v>1585</v>
      </c>
      <c r="B778" s="2" t="s">
        <v>181</v>
      </c>
      <c r="C778" s="3" t="str">
        <f>HYPERLINK("https://springer.com/10997")</f>
        <v>https://springer.com/10997</v>
      </c>
      <c r="D778" s="2" t="s">
        <v>1586</v>
      </c>
      <c r="E778" s="2" t="s">
        <v>8</v>
      </c>
    </row>
    <row r="779" spans="1:5" ht="12.75" customHeight="1" x14ac:dyDescent="0.3">
      <c r="A779" s="2" t="s">
        <v>1587</v>
      </c>
      <c r="B779" s="2" t="s">
        <v>10</v>
      </c>
      <c r="C779" s="3" t="str">
        <f>HYPERLINK("https://springer.com/10998")</f>
        <v>https://springer.com/10998</v>
      </c>
      <c r="D779" s="2" t="s">
        <v>1588</v>
      </c>
      <c r="E779" s="2" t="s">
        <v>8</v>
      </c>
    </row>
    <row r="780" spans="1:5" ht="12.75" customHeight="1" x14ac:dyDescent="0.3">
      <c r="A780" s="2" t="s">
        <v>1589</v>
      </c>
      <c r="B780" s="2" t="s">
        <v>56</v>
      </c>
      <c r="C780" s="3" t="str">
        <f>HYPERLINK("https://springer.com/10999")</f>
        <v>https://springer.com/10999</v>
      </c>
      <c r="D780" s="2" t="s">
        <v>1590</v>
      </c>
      <c r="E780" s="2" t="s">
        <v>8</v>
      </c>
    </row>
    <row r="781" spans="1:5" ht="12.75" customHeight="1" x14ac:dyDescent="0.3">
      <c r="A781" s="2" t="s">
        <v>1591</v>
      </c>
      <c r="B781" s="2" t="s">
        <v>26</v>
      </c>
      <c r="C781" s="3" t="str">
        <f>HYPERLINK("https://springer.com/11001")</f>
        <v>https://springer.com/11001</v>
      </c>
      <c r="D781" s="2" t="s">
        <v>1592</v>
      </c>
      <c r="E781" s="2" t="s">
        <v>8</v>
      </c>
    </row>
    <row r="782" spans="1:5" ht="12.75" customHeight="1" x14ac:dyDescent="0.3">
      <c r="A782" s="2" t="s">
        <v>1593</v>
      </c>
      <c r="B782" s="2" t="s">
        <v>181</v>
      </c>
      <c r="C782" s="3" t="str">
        <f>HYPERLINK("https://springer.com/11002")</f>
        <v>https://springer.com/11002</v>
      </c>
      <c r="D782" s="2" t="s">
        <v>1594</v>
      </c>
      <c r="E782" s="2" t="s">
        <v>8</v>
      </c>
    </row>
    <row r="783" spans="1:5" ht="12.75" customHeight="1" x14ac:dyDescent="0.3">
      <c r="A783" s="2" t="s">
        <v>1595</v>
      </c>
      <c r="B783" s="2" t="s">
        <v>26</v>
      </c>
      <c r="C783" s="3" t="str">
        <f>HYPERLINK("https://springer.com/11004")</f>
        <v>https://springer.com/11004</v>
      </c>
      <c r="D783" s="2" t="s">
        <v>1596</v>
      </c>
      <c r="E783" s="2" t="s">
        <v>8</v>
      </c>
    </row>
    <row r="784" spans="1:5" ht="12.75" customHeight="1" x14ac:dyDescent="0.3">
      <c r="A784" s="2" t="s">
        <v>1597</v>
      </c>
      <c r="B784" s="2" t="s">
        <v>13</v>
      </c>
      <c r="C784" s="3" t="str">
        <f>HYPERLINK("https://springer.com/11005")</f>
        <v>https://springer.com/11005</v>
      </c>
      <c r="D784" s="2" t="s">
        <v>1598</v>
      </c>
      <c r="E784" s="2" t="s">
        <v>8</v>
      </c>
    </row>
    <row r="785" spans="1:5" ht="12.75" customHeight="1" x14ac:dyDescent="0.3">
      <c r="A785" s="2" t="s">
        <v>1599</v>
      </c>
      <c r="B785" s="2" t="s">
        <v>10</v>
      </c>
      <c r="C785" s="3" t="str">
        <f>HYPERLINK("https://springer.com/11006")</f>
        <v>https://springer.com/11006</v>
      </c>
      <c r="D785" s="2" t="s">
        <v>1600</v>
      </c>
      <c r="E785" s="2"/>
    </row>
    <row r="786" spans="1:5" ht="12.75" customHeight="1" x14ac:dyDescent="0.3">
      <c r="A786" s="2" t="s">
        <v>1601</v>
      </c>
      <c r="B786" s="2" t="s">
        <v>868</v>
      </c>
      <c r="C786" s="3" t="str">
        <f>HYPERLINK("https://springer.com/11007")</f>
        <v>https://springer.com/11007</v>
      </c>
      <c r="D786" s="2" t="s">
        <v>1602</v>
      </c>
      <c r="E786" s="2" t="s">
        <v>8</v>
      </c>
    </row>
    <row r="787" spans="1:5" ht="12.75" customHeight="1" x14ac:dyDescent="0.3">
      <c r="A787" s="2" t="s">
        <v>1603</v>
      </c>
      <c r="B787" s="2" t="s">
        <v>6</v>
      </c>
      <c r="C787" s="3" t="str">
        <f>HYPERLINK("https://springer.com/11008")</f>
        <v>https://springer.com/11008</v>
      </c>
      <c r="D787" s="2" t="s">
        <v>1604</v>
      </c>
      <c r="E787" s="2"/>
    </row>
    <row r="788" spans="1:5" ht="12.75" customHeight="1" x14ac:dyDescent="0.3">
      <c r="A788" s="2" t="s">
        <v>1605</v>
      </c>
      <c r="B788" s="2" t="s">
        <v>170</v>
      </c>
      <c r="C788" s="3" t="str">
        <f>HYPERLINK("https://springer.com/11009")</f>
        <v>https://springer.com/11009</v>
      </c>
      <c r="D788" s="2" t="s">
        <v>1606</v>
      </c>
      <c r="E788" s="2" t="s">
        <v>8</v>
      </c>
    </row>
    <row r="789" spans="1:5" ht="12.75" customHeight="1" x14ac:dyDescent="0.3">
      <c r="A789" s="2" t="s">
        <v>1607</v>
      </c>
      <c r="B789" s="2" t="s">
        <v>6</v>
      </c>
      <c r="C789" s="3" t="str">
        <f>HYPERLINK("https://springer.com/11010")</f>
        <v>https://springer.com/11010</v>
      </c>
      <c r="D789" s="2" t="s">
        <v>1608</v>
      </c>
      <c r="E789" s="2" t="s">
        <v>8</v>
      </c>
    </row>
    <row r="790" spans="1:5" ht="12.75" customHeight="1" x14ac:dyDescent="0.3">
      <c r="A790" s="2" t="s">
        <v>1609</v>
      </c>
      <c r="B790" s="2" t="s">
        <v>20</v>
      </c>
      <c r="C790" s="3" t="str">
        <f>HYPERLINK("https://springer.com/11011")</f>
        <v>https://springer.com/11011</v>
      </c>
      <c r="D790" s="2" t="s">
        <v>1610</v>
      </c>
      <c r="E790" s="2" t="s">
        <v>8</v>
      </c>
    </row>
    <row r="791" spans="1:5" ht="12.75" customHeight="1" x14ac:dyDescent="0.3">
      <c r="A791" s="2" t="s">
        <v>1611</v>
      </c>
      <c r="B791" s="2" t="s">
        <v>56</v>
      </c>
      <c r="C791" s="3" t="str">
        <f>HYPERLINK("https://springer.com/11012")</f>
        <v>https://springer.com/11012</v>
      </c>
      <c r="D791" s="2" t="s">
        <v>1612</v>
      </c>
      <c r="E791" s="2" t="s">
        <v>8</v>
      </c>
    </row>
    <row r="792" spans="1:5" ht="12.75" customHeight="1" x14ac:dyDescent="0.3">
      <c r="A792" s="2" t="s">
        <v>1613</v>
      </c>
      <c r="B792" s="2" t="s">
        <v>794</v>
      </c>
      <c r="C792" s="3" t="str">
        <f>HYPERLINK("https://springer.com/11013")</f>
        <v>https://springer.com/11013</v>
      </c>
      <c r="D792" s="2" t="s">
        <v>1614</v>
      </c>
      <c r="E792" s="2" t="s">
        <v>8</v>
      </c>
    </row>
    <row r="793" spans="1:5" ht="12.75" customHeight="1" x14ac:dyDescent="0.3">
      <c r="A793" s="2" t="s">
        <v>1615</v>
      </c>
      <c r="B793" s="2" t="s">
        <v>868</v>
      </c>
      <c r="C793" s="3" t="str">
        <f>HYPERLINK("https://springer.com/11016")</f>
        <v>https://springer.com/11016</v>
      </c>
      <c r="D793" s="2" t="s">
        <v>1616</v>
      </c>
      <c r="E793" s="2" t="s">
        <v>8</v>
      </c>
    </row>
    <row r="794" spans="1:5" ht="12.75" customHeight="1" x14ac:dyDescent="0.3">
      <c r="A794" s="2" t="s">
        <v>1617</v>
      </c>
      <c r="B794" s="2" t="s">
        <v>868</v>
      </c>
      <c r="C794" s="3" t="str">
        <f>HYPERLINK("https://springer.com/11017")</f>
        <v>https://springer.com/11017</v>
      </c>
      <c r="D794" s="2" t="s">
        <v>1618</v>
      </c>
      <c r="E794" s="2" t="s">
        <v>8</v>
      </c>
    </row>
    <row r="795" spans="1:5" ht="12.75" customHeight="1" x14ac:dyDescent="0.3">
      <c r="A795" s="2" t="s">
        <v>1619</v>
      </c>
      <c r="B795" s="2" t="s">
        <v>868</v>
      </c>
      <c r="C795" s="3" t="str">
        <f>HYPERLINK("https://springer.com/11019")</f>
        <v>https://springer.com/11019</v>
      </c>
      <c r="D795" s="2" t="s">
        <v>1620</v>
      </c>
      <c r="E795" s="2" t="s">
        <v>8</v>
      </c>
    </row>
    <row r="796" spans="1:5" ht="12.75" customHeight="1" x14ac:dyDescent="0.3">
      <c r="A796" s="2" t="s">
        <v>1621</v>
      </c>
      <c r="B796" s="2" t="s">
        <v>6</v>
      </c>
      <c r="C796" s="3" t="str">
        <f>HYPERLINK("https://springer.com/11021")</f>
        <v>https://springer.com/11021</v>
      </c>
      <c r="D796" s="2" t="s">
        <v>1622</v>
      </c>
      <c r="E796" s="2"/>
    </row>
    <row r="797" spans="1:5" ht="12.75" customHeight="1" x14ac:dyDescent="0.3">
      <c r="A797" s="2" t="s">
        <v>1623</v>
      </c>
      <c r="B797" s="2" t="s">
        <v>63</v>
      </c>
      <c r="C797" s="3" t="str">
        <f>HYPERLINK("https://springer.com/11023")</f>
        <v>https://springer.com/11023</v>
      </c>
      <c r="D797" s="2" t="s">
        <v>1624</v>
      </c>
      <c r="E797" s="2" t="s">
        <v>8</v>
      </c>
    </row>
    <row r="798" spans="1:5" ht="12.75" customHeight="1" x14ac:dyDescent="0.3">
      <c r="A798" s="2" t="s">
        <v>1625</v>
      </c>
      <c r="B798" s="2" t="s">
        <v>794</v>
      </c>
      <c r="C798" s="3" t="str">
        <f>HYPERLINK("https://springer.com/11024")</f>
        <v>https://springer.com/11024</v>
      </c>
      <c r="D798" s="2" t="s">
        <v>1626</v>
      </c>
      <c r="E798" s="2" t="s">
        <v>8</v>
      </c>
    </row>
    <row r="799" spans="1:5" ht="12.75" customHeight="1" x14ac:dyDescent="0.3">
      <c r="A799" s="2" t="s">
        <v>1627</v>
      </c>
      <c r="B799" s="2" t="s">
        <v>26</v>
      </c>
      <c r="C799" s="3" t="str">
        <f>HYPERLINK("https://springer.com/11027")</f>
        <v>https://springer.com/11027</v>
      </c>
      <c r="D799" s="2" t="s">
        <v>1628</v>
      </c>
      <c r="E799" s="2" t="s">
        <v>8</v>
      </c>
    </row>
    <row r="800" spans="1:5" ht="12.75" customHeight="1" x14ac:dyDescent="0.3">
      <c r="A800" s="2" t="s">
        <v>1629</v>
      </c>
      <c r="B800" s="2" t="s">
        <v>6</v>
      </c>
      <c r="C800" s="3" t="str">
        <f>HYPERLINK("https://springer.com/11030")</f>
        <v>https://springer.com/11030</v>
      </c>
      <c r="D800" s="2" t="s">
        <v>1630</v>
      </c>
      <c r="E800" s="2" t="s">
        <v>8</v>
      </c>
    </row>
    <row r="801" spans="1:5" ht="12.75" customHeight="1" x14ac:dyDescent="0.3">
      <c r="A801" s="2" t="s">
        <v>1631</v>
      </c>
      <c r="B801" s="2" t="s">
        <v>443</v>
      </c>
      <c r="C801" s="3" t="str">
        <f>HYPERLINK("https://springer.com/11031")</f>
        <v>https://springer.com/11031</v>
      </c>
      <c r="D801" s="2" t="s">
        <v>1632</v>
      </c>
      <c r="E801" s="2" t="s">
        <v>8</v>
      </c>
    </row>
    <row r="802" spans="1:5" ht="12.75" customHeight="1" x14ac:dyDescent="0.3">
      <c r="A802" s="2" t="s">
        <v>1633</v>
      </c>
      <c r="B802" s="2" t="s">
        <v>6</v>
      </c>
      <c r="C802" s="3" t="str">
        <f>HYPERLINK("https://springer.com/11032")</f>
        <v>https://springer.com/11032</v>
      </c>
      <c r="D802" s="2" t="s">
        <v>1634</v>
      </c>
      <c r="E802" s="2" t="s">
        <v>8</v>
      </c>
    </row>
    <row r="803" spans="1:5" ht="12.75" customHeight="1" x14ac:dyDescent="0.3">
      <c r="A803" s="2" t="s">
        <v>1635</v>
      </c>
      <c r="B803" s="2" t="s">
        <v>6</v>
      </c>
      <c r="C803" s="3" t="str">
        <f>HYPERLINK("https://springer.com/11033")</f>
        <v>https://springer.com/11033</v>
      </c>
      <c r="D803" s="2" t="s">
        <v>1636</v>
      </c>
      <c r="E803" s="2" t="s">
        <v>8</v>
      </c>
    </row>
    <row r="804" spans="1:5" ht="12.75" customHeight="1" x14ac:dyDescent="0.3">
      <c r="A804" s="2" t="s">
        <v>1637</v>
      </c>
      <c r="B804" s="2" t="s">
        <v>56</v>
      </c>
      <c r="C804" s="3" t="str">
        <f>HYPERLINK("https://springer.com/11036")</f>
        <v>https://springer.com/11036</v>
      </c>
      <c r="D804" s="2" t="s">
        <v>1638</v>
      </c>
      <c r="E804" s="2" t="s">
        <v>8</v>
      </c>
    </row>
    <row r="805" spans="1:5" ht="12.75" customHeight="1" x14ac:dyDescent="0.3">
      <c r="A805" s="2" t="s">
        <v>1639</v>
      </c>
      <c r="B805" s="2" t="s">
        <v>13</v>
      </c>
      <c r="C805" s="3" t="str">
        <f>HYPERLINK("https://springer.com/11040")</f>
        <v>https://springer.com/11040</v>
      </c>
      <c r="D805" s="2" t="s">
        <v>1640</v>
      </c>
      <c r="E805" s="2" t="s">
        <v>8</v>
      </c>
    </row>
    <row r="806" spans="1:5" ht="12.75" customHeight="1" x14ac:dyDescent="0.3">
      <c r="A806" s="2" t="s">
        <v>1641</v>
      </c>
      <c r="B806" s="2" t="s">
        <v>63</v>
      </c>
      <c r="C806" s="3" t="str">
        <f>HYPERLINK("https://springer.com/11042")</f>
        <v>https://springer.com/11042</v>
      </c>
      <c r="D806" s="2" t="s">
        <v>1642</v>
      </c>
      <c r="E806" s="2" t="s">
        <v>8</v>
      </c>
    </row>
    <row r="807" spans="1:5" ht="12.75" customHeight="1" x14ac:dyDescent="0.3">
      <c r="A807" s="2" t="s">
        <v>1643</v>
      </c>
      <c r="B807" s="2" t="s">
        <v>56</v>
      </c>
      <c r="C807" s="3" t="str">
        <f>HYPERLINK("https://springer.com/11043")</f>
        <v>https://springer.com/11043</v>
      </c>
      <c r="D807" s="2" t="s">
        <v>1644</v>
      </c>
      <c r="E807" s="2" t="s">
        <v>8</v>
      </c>
    </row>
    <row r="808" spans="1:5" ht="12.75" customHeight="1" x14ac:dyDescent="0.3">
      <c r="A808" s="2" t="s">
        <v>1645</v>
      </c>
      <c r="B808" s="2" t="s">
        <v>56</v>
      </c>
      <c r="C808" s="3" t="str">
        <f>HYPERLINK("https://springer.com/11044")</f>
        <v>https://springer.com/11044</v>
      </c>
      <c r="D808" s="2" t="s">
        <v>1646</v>
      </c>
      <c r="E808" s="2" t="s">
        <v>8</v>
      </c>
    </row>
    <row r="809" spans="1:5" ht="12.75" customHeight="1" x14ac:dyDescent="0.3">
      <c r="A809" s="2" t="s">
        <v>1647</v>
      </c>
      <c r="B809" s="2" t="s">
        <v>56</v>
      </c>
      <c r="C809" s="3" t="str">
        <f>HYPERLINK("https://springer.com/11045")</f>
        <v>https://springer.com/11045</v>
      </c>
      <c r="D809" s="2" t="s">
        <v>1648</v>
      </c>
      <c r="E809" s="2" t="s">
        <v>8</v>
      </c>
    </row>
    <row r="810" spans="1:5" ht="12.75" customHeight="1" x14ac:dyDescent="0.3">
      <c r="A810" s="2" t="s">
        <v>1649</v>
      </c>
      <c r="B810" s="2" t="s">
        <v>6</v>
      </c>
      <c r="C810" s="3" t="str">
        <f>HYPERLINK("https://springer.com/11046")</f>
        <v>https://springer.com/11046</v>
      </c>
      <c r="D810" s="2" t="s">
        <v>1650</v>
      </c>
      <c r="E810" s="2" t="s">
        <v>8</v>
      </c>
    </row>
    <row r="811" spans="1:5" ht="12.75" customHeight="1" x14ac:dyDescent="0.3">
      <c r="A811" s="2" t="s">
        <v>1651</v>
      </c>
      <c r="B811" s="2" t="s">
        <v>63</v>
      </c>
      <c r="C811" s="3" t="str">
        <f>HYPERLINK("https://springer.com/11047")</f>
        <v>https://springer.com/11047</v>
      </c>
      <c r="D811" s="2" t="s">
        <v>1652</v>
      </c>
      <c r="E811" s="2" t="s">
        <v>8</v>
      </c>
    </row>
    <row r="812" spans="1:5" ht="12.75" customHeight="1" x14ac:dyDescent="0.3">
      <c r="A812" s="2" t="s">
        <v>1653</v>
      </c>
      <c r="B812" s="2" t="s">
        <v>1030</v>
      </c>
      <c r="C812" s="3" t="str">
        <f>HYPERLINK("https://springer.com/11049")</f>
        <v>https://springer.com/11049</v>
      </c>
      <c r="D812" s="2" t="s">
        <v>1654</v>
      </c>
      <c r="E812" s="2" t="s">
        <v>8</v>
      </c>
    </row>
    <row r="813" spans="1:5" ht="12.75" customHeight="1" x14ac:dyDescent="0.3">
      <c r="A813" s="2" t="s">
        <v>1655</v>
      </c>
      <c r="B813" s="2" t="s">
        <v>1030</v>
      </c>
      <c r="C813" s="3" t="str">
        <f>HYPERLINK("https://springer.com/11050")</f>
        <v>https://springer.com/11050</v>
      </c>
      <c r="D813" s="2" t="s">
        <v>1656</v>
      </c>
      <c r="E813" s="2" t="s">
        <v>8</v>
      </c>
    </row>
    <row r="814" spans="1:5" ht="12.75" customHeight="1" x14ac:dyDescent="0.3">
      <c r="A814" s="2" t="s">
        <v>1657</v>
      </c>
      <c r="B814" s="2" t="s">
        <v>396</v>
      </c>
      <c r="C814" s="3" t="str">
        <f>HYPERLINK("https://springer.com/11051")</f>
        <v>https://springer.com/11051</v>
      </c>
      <c r="D814" s="2" t="s">
        <v>1658</v>
      </c>
      <c r="E814" s="2" t="s">
        <v>8</v>
      </c>
    </row>
    <row r="815" spans="1:5" ht="12.75" customHeight="1" x14ac:dyDescent="0.3">
      <c r="A815" s="2" t="s">
        <v>1659</v>
      </c>
      <c r="B815" s="2" t="s">
        <v>26</v>
      </c>
      <c r="C815" s="3" t="str">
        <f>HYPERLINK("https://springer.com/11053")</f>
        <v>https://springer.com/11053</v>
      </c>
      <c r="D815" s="2" t="s">
        <v>1660</v>
      </c>
      <c r="E815" s="2" t="s">
        <v>8</v>
      </c>
    </row>
    <row r="816" spans="1:5" ht="12.75" customHeight="1" x14ac:dyDescent="0.3">
      <c r="A816" s="2" t="s">
        <v>1661</v>
      </c>
      <c r="B816" s="2" t="s">
        <v>20</v>
      </c>
      <c r="C816" s="3" t="str">
        <f>HYPERLINK("https://springer.com/11055")</f>
        <v>https://springer.com/11055</v>
      </c>
      <c r="D816" s="2" t="s">
        <v>1662</v>
      </c>
      <c r="E816" s="2" t="s">
        <v>8</v>
      </c>
    </row>
    <row r="817" spans="1:5" ht="12.75" customHeight="1" x14ac:dyDescent="0.3">
      <c r="A817" s="2" t="s">
        <v>1663</v>
      </c>
      <c r="B817" s="2" t="s">
        <v>6</v>
      </c>
      <c r="C817" s="3" t="str">
        <f>HYPERLINK("https://springer.com/11056")</f>
        <v>https://springer.com/11056</v>
      </c>
      <c r="D817" s="2" t="s">
        <v>1664</v>
      </c>
      <c r="E817" s="2" t="s">
        <v>8</v>
      </c>
    </row>
    <row r="818" spans="1:5" ht="12.75" customHeight="1" x14ac:dyDescent="0.3">
      <c r="A818" s="2" t="s">
        <v>1665</v>
      </c>
      <c r="B818" s="2" t="s">
        <v>1666</v>
      </c>
      <c r="C818" s="3" t="str">
        <f>HYPERLINK("https://springer.com/11059")</f>
        <v>https://springer.com/11059</v>
      </c>
      <c r="D818" s="2" t="s">
        <v>1667</v>
      </c>
      <c r="E818" s="2" t="s">
        <v>8</v>
      </c>
    </row>
    <row r="819" spans="1:5" ht="12.75" customHeight="1" x14ac:dyDescent="0.3">
      <c r="A819" s="2" t="s">
        <v>1668</v>
      </c>
      <c r="B819" s="2" t="s">
        <v>78</v>
      </c>
      <c r="C819" s="3" t="str">
        <f>HYPERLINK("https://springer.com/11060")</f>
        <v>https://springer.com/11060</v>
      </c>
      <c r="D819" s="2" t="s">
        <v>1669</v>
      </c>
      <c r="E819" s="2" t="s">
        <v>8</v>
      </c>
    </row>
    <row r="820" spans="1:5" ht="12.75" customHeight="1" x14ac:dyDescent="0.3">
      <c r="A820" s="2" t="s">
        <v>1670</v>
      </c>
      <c r="B820" s="2" t="s">
        <v>1030</v>
      </c>
      <c r="C820" s="3" t="str">
        <f>HYPERLINK("https://springer.com/11061")</f>
        <v>https://springer.com/11061</v>
      </c>
      <c r="D820" s="2" t="s">
        <v>1671</v>
      </c>
      <c r="E820" s="2" t="s">
        <v>8</v>
      </c>
    </row>
    <row r="821" spans="1:5" ht="12.75" customHeight="1" x14ac:dyDescent="0.3">
      <c r="A821" s="2" t="s">
        <v>1672</v>
      </c>
      <c r="B821" s="2" t="s">
        <v>20</v>
      </c>
      <c r="C821" s="3" t="str">
        <f>HYPERLINK("https://springer.com/11062")</f>
        <v>https://springer.com/11062</v>
      </c>
      <c r="D821" s="2" t="s">
        <v>1673</v>
      </c>
      <c r="E821" s="2" t="s">
        <v>8</v>
      </c>
    </row>
    <row r="822" spans="1:5" ht="12.75" customHeight="1" x14ac:dyDescent="0.3">
      <c r="A822" s="2" t="s">
        <v>1674</v>
      </c>
      <c r="B822" s="2" t="s">
        <v>20</v>
      </c>
      <c r="C822" s="3" t="str">
        <f>HYPERLINK("https://springer.com/11064")</f>
        <v>https://springer.com/11064</v>
      </c>
      <c r="D822" s="2" t="s">
        <v>1675</v>
      </c>
      <c r="E822" s="2" t="s">
        <v>8</v>
      </c>
    </row>
    <row r="823" spans="1:5" ht="12.75" customHeight="1" x14ac:dyDescent="0.3">
      <c r="A823" s="2" t="s">
        <v>1676</v>
      </c>
      <c r="B823" s="2" t="s">
        <v>20</v>
      </c>
      <c r="C823" s="3" t="str">
        <f>HYPERLINK("https://springer.com/11065")</f>
        <v>https://springer.com/11065</v>
      </c>
      <c r="D823" s="2" t="s">
        <v>1677</v>
      </c>
      <c r="E823" s="2" t="s">
        <v>8</v>
      </c>
    </row>
    <row r="824" spans="1:5" ht="12.75" customHeight="1" x14ac:dyDescent="0.3">
      <c r="A824" s="2" t="s">
        <v>1678</v>
      </c>
      <c r="B824" s="2" t="s">
        <v>151</v>
      </c>
      <c r="C824" s="3" t="str">
        <f>HYPERLINK("https://springer.com/11067")</f>
        <v>https://springer.com/11067</v>
      </c>
      <c r="D824" s="2" t="s">
        <v>1679</v>
      </c>
      <c r="E824" s="2" t="s">
        <v>8</v>
      </c>
    </row>
    <row r="825" spans="1:5" ht="12.75" customHeight="1" x14ac:dyDescent="0.3">
      <c r="A825" s="2" t="s">
        <v>1680</v>
      </c>
      <c r="B825" s="2" t="s">
        <v>26</v>
      </c>
      <c r="C825" s="3" t="str">
        <f>HYPERLINK("https://springer.com/11069")</f>
        <v>https://springer.com/11069</v>
      </c>
      <c r="D825" s="2" t="s">
        <v>1681</v>
      </c>
      <c r="E825" s="2" t="s">
        <v>8</v>
      </c>
    </row>
    <row r="826" spans="1:5" ht="12.75" customHeight="1" x14ac:dyDescent="0.3">
      <c r="A826" s="2" t="s">
        <v>1682</v>
      </c>
      <c r="B826" s="2" t="s">
        <v>13</v>
      </c>
      <c r="C826" s="3" t="str">
        <f>HYPERLINK("https://springer.com/11071")</f>
        <v>https://springer.com/11071</v>
      </c>
      <c r="D826" s="2" t="s">
        <v>1683</v>
      </c>
      <c r="E826" s="2" t="s">
        <v>8</v>
      </c>
    </row>
    <row r="827" spans="1:5" ht="12.75" customHeight="1" x14ac:dyDescent="0.3">
      <c r="A827" s="2" t="s">
        <v>1684</v>
      </c>
      <c r="B827" s="2" t="s">
        <v>63</v>
      </c>
      <c r="C827" s="3" t="str">
        <f>HYPERLINK("https://springer.com/11075")</f>
        <v>https://springer.com/11075</v>
      </c>
      <c r="D827" s="2" t="s">
        <v>1685</v>
      </c>
      <c r="E827" s="2" t="s">
        <v>8</v>
      </c>
    </row>
    <row r="828" spans="1:5" ht="12.75" customHeight="1" x14ac:dyDescent="0.3">
      <c r="A828" s="2" t="s">
        <v>1686</v>
      </c>
      <c r="B828" s="2" t="s">
        <v>1063</v>
      </c>
      <c r="C828" s="3" t="str">
        <f>HYPERLINK("https://springer.com/11077")</f>
        <v>https://springer.com/11077</v>
      </c>
      <c r="D828" s="2" t="s">
        <v>1687</v>
      </c>
      <c r="E828" s="2" t="s">
        <v>8</v>
      </c>
    </row>
    <row r="829" spans="1:5" ht="12.75" customHeight="1" x14ac:dyDescent="0.3">
      <c r="A829" s="2" t="s">
        <v>1688</v>
      </c>
      <c r="B829" s="2" t="s">
        <v>151</v>
      </c>
      <c r="C829" s="3" t="str">
        <f>HYPERLINK("https://springer.com/11079")</f>
        <v>https://springer.com/11079</v>
      </c>
      <c r="D829" s="2" t="s">
        <v>1689</v>
      </c>
      <c r="E829" s="2" t="s">
        <v>8</v>
      </c>
    </row>
    <row r="830" spans="1:5" ht="12.75" customHeight="1" x14ac:dyDescent="0.3">
      <c r="A830" s="2" t="s">
        <v>1690</v>
      </c>
      <c r="B830" s="2" t="s">
        <v>10</v>
      </c>
      <c r="C830" s="3" t="str">
        <f>HYPERLINK("https://springer.com/11081")</f>
        <v>https://springer.com/11081</v>
      </c>
      <c r="D830" s="2" t="s">
        <v>1691</v>
      </c>
      <c r="E830" s="2" t="s">
        <v>8</v>
      </c>
    </row>
    <row r="831" spans="1:5" ht="12.75" customHeight="1" x14ac:dyDescent="0.3">
      <c r="A831" s="2" t="s">
        <v>1692</v>
      </c>
      <c r="B831" s="2" t="s">
        <v>13</v>
      </c>
      <c r="C831" s="3" t="str">
        <f>HYPERLINK("https://springer.com/11082")</f>
        <v>https://springer.com/11082</v>
      </c>
      <c r="D831" s="2" t="s">
        <v>1693</v>
      </c>
      <c r="E831" s="2" t="s">
        <v>8</v>
      </c>
    </row>
    <row r="832" spans="1:5" ht="12.75" customHeight="1" x14ac:dyDescent="0.3">
      <c r="A832" s="2" t="s">
        <v>1694</v>
      </c>
      <c r="B832" s="2" t="s">
        <v>10</v>
      </c>
      <c r="C832" s="3" t="str">
        <f>HYPERLINK("https://springer.com/11083")</f>
        <v>https://springer.com/11083</v>
      </c>
      <c r="D832" s="2" t="s">
        <v>1695</v>
      </c>
      <c r="E832" s="2" t="s">
        <v>8</v>
      </c>
    </row>
    <row r="833" spans="1:5" ht="12.75" customHeight="1" x14ac:dyDescent="0.3">
      <c r="A833" s="2" t="s">
        <v>1696</v>
      </c>
      <c r="B833" s="2" t="s">
        <v>396</v>
      </c>
      <c r="C833" s="3" t="str">
        <f>HYPERLINK("https://springer.com/11085")</f>
        <v>https://springer.com/11085</v>
      </c>
      <c r="D833" s="2" t="s">
        <v>1697</v>
      </c>
      <c r="E833" s="2" t="s">
        <v>8</v>
      </c>
    </row>
    <row r="834" spans="1:5" ht="12.75" customHeight="1" x14ac:dyDescent="0.3">
      <c r="A834" s="2" t="s">
        <v>1698</v>
      </c>
      <c r="B834" s="2" t="s">
        <v>63</v>
      </c>
      <c r="C834" s="3" t="str">
        <f>HYPERLINK("https://springer.com/11086")</f>
        <v>https://springer.com/11086</v>
      </c>
      <c r="D834" s="2" t="s">
        <v>1699</v>
      </c>
      <c r="E834" s="2"/>
    </row>
    <row r="835" spans="1:5" ht="12.75" customHeight="1" x14ac:dyDescent="0.3">
      <c r="A835" s="2" t="s">
        <v>1700</v>
      </c>
      <c r="B835" s="2" t="s">
        <v>443</v>
      </c>
      <c r="C835" s="3" t="str">
        <f>HYPERLINK("https://springer.com/11089")</f>
        <v>https://springer.com/11089</v>
      </c>
      <c r="D835" s="2" t="s">
        <v>1701</v>
      </c>
      <c r="E835" s="2" t="s">
        <v>8</v>
      </c>
    </row>
    <row r="836" spans="1:5" ht="12.75" customHeight="1" x14ac:dyDescent="0.3">
      <c r="A836" s="2" t="s">
        <v>1702</v>
      </c>
      <c r="B836" s="2" t="s">
        <v>218</v>
      </c>
      <c r="C836" s="3" t="str">
        <f>HYPERLINK("https://springer.com/11090")</f>
        <v>https://springer.com/11090</v>
      </c>
      <c r="D836" s="2" t="s">
        <v>1703</v>
      </c>
      <c r="E836" s="2" t="s">
        <v>8</v>
      </c>
    </row>
    <row r="837" spans="1:5" ht="12.75" customHeight="1" x14ac:dyDescent="0.3">
      <c r="A837" s="2" t="s">
        <v>1704</v>
      </c>
      <c r="B837" s="2" t="s">
        <v>753</v>
      </c>
      <c r="C837" s="3" t="str">
        <f>HYPERLINK("https://springer.com/11092")</f>
        <v>https://springer.com/11092</v>
      </c>
      <c r="D837" s="2" t="s">
        <v>1705</v>
      </c>
      <c r="E837" s="2" t="s">
        <v>8</v>
      </c>
    </row>
    <row r="838" spans="1:5" ht="12.75" customHeight="1" x14ac:dyDescent="0.3">
      <c r="A838" s="2" t="s">
        <v>1707</v>
      </c>
      <c r="B838" s="2" t="s">
        <v>20</v>
      </c>
      <c r="C838" s="3" t="str">
        <f>HYPERLINK("https://springer.com/11095")</f>
        <v>https://springer.com/11095</v>
      </c>
      <c r="D838" s="2" t="s">
        <v>1708</v>
      </c>
      <c r="E838" s="2" t="s">
        <v>8</v>
      </c>
    </row>
    <row r="839" spans="1:5" ht="12.75" customHeight="1" x14ac:dyDescent="0.3">
      <c r="A839" s="2" t="s">
        <v>1709</v>
      </c>
      <c r="B839" s="2" t="s">
        <v>78</v>
      </c>
      <c r="C839" s="3" t="str">
        <f>HYPERLINK("https://springer.com/11096")</f>
        <v>https://springer.com/11096</v>
      </c>
      <c r="D839" s="2" t="s">
        <v>1710</v>
      </c>
      <c r="E839" s="2" t="s">
        <v>8</v>
      </c>
    </row>
    <row r="840" spans="1:5" ht="12.75" customHeight="1" x14ac:dyDescent="0.3">
      <c r="A840" s="2" t="s">
        <v>1711</v>
      </c>
      <c r="B840" s="2" t="s">
        <v>868</v>
      </c>
      <c r="C840" s="3" t="str">
        <f>HYPERLINK("https://springer.com/11097")</f>
        <v>https://springer.com/11097</v>
      </c>
      <c r="D840" s="2" t="s">
        <v>1712</v>
      </c>
      <c r="E840" s="2" t="s">
        <v>8</v>
      </c>
    </row>
    <row r="841" spans="1:5" ht="12.75" customHeight="1" x14ac:dyDescent="0.3">
      <c r="A841" s="2" t="s">
        <v>1713</v>
      </c>
      <c r="B841" s="2" t="s">
        <v>868</v>
      </c>
      <c r="C841" s="3" t="str">
        <f>HYPERLINK("https://springer.com/11098")</f>
        <v>https://springer.com/11098</v>
      </c>
      <c r="D841" s="2" t="s">
        <v>1714</v>
      </c>
      <c r="E841" s="2" t="s">
        <v>8</v>
      </c>
    </row>
    <row r="842" spans="1:5" ht="12.75" customHeight="1" x14ac:dyDescent="0.3">
      <c r="A842" s="2" t="s">
        <v>1715</v>
      </c>
      <c r="B842" s="2" t="s">
        <v>6</v>
      </c>
      <c r="C842" s="3" t="str">
        <f>HYPERLINK("https://springer.com/11101")</f>
        <v>https://springer.com/11101</v>
      </c>
      <c r="D842" s="2" t="s">
        <v>1716</v>
      </c>
      <c r="E842" s="2" t="s">
        <v>8</v>
      </c>
    </row>
    <row r="843" spans="1:5" ht="12.75" customHeight="1" x14ac:dyDescent="0.3">
      <c r="A843" s="2" t="s">
        <v>1717</v>
      </c>
      <c r="B843" s="2" t="s">
        <v>78</v>
      </c>
      <c r="C843" s="3" t="str">
        <f>HYPERLINK("https://springer.com/11102")</f>
        <v>https://springer.com/11102</v>
      </c>
      <c r="D843" s="2" t="s">
        <v>1718</v>
      </c>
      <c r="E843" s="2" t="s">
        <v>8</v>
      </c>
    </row>
    <row r="844" spans="1:5" ht="12.75" customHeight="1" x14ac:dyDescent="0.3">
      <c r="A844" s="2" t="s">
        <v>1719</v>
      </c>
      <c r="B844" s="2" t="s">
        <v>6</v>
      </c>
      <c r="C844" s="3" t="str">
        <f>HYPERLINK("https://springer.com/11103")</f>
        <v>https://springer.com/11103</v>
      </c>
      <c r="D844" s="2" t="s">
        <v>1720</v>
      </c>
      <c r="E844" s="2" t="s">
        <v>8</v>
      </c>
    </row>
    <row r="845" spans="1:5" ht="12.75" customHeight="1" x14ac:dyDescent="0.3">
      <c r="A845" s="2" t="s">
        <v>1721</v>
      </c>
      <c r="B845" s="2" t="s">
        <v>6</v>
      </c>
      <c r="C845" s="3" t="str">
        <f>HYPERLINK("https://springer.com/11104")</f>
        <v>https://springer.com/11104</v>
      </c>
      <c r="D845" s="2" t="s">
        <v>1722</v>
      </c>
      <c r="E845" s="2" t="s">
        <v>8</v>
      </c>
    </row>
    <row r="846" spans="1:5" ht="12.75" customHeight="1" x14ac:dyDescent="0.3">
      <c r="A846" s="2" t="s">
        <v>1723</v>
      </c>
      <c r="B846" s="2" t="s">
        <v>6</v>
      </c>
      <c r="C846" s="3" t="str">
        <f>HYPERLINK("https://springer.com/11105")</f>
        <v>https://springer.com/11105</v>
      </c>
      <c r="D846" s="2" t="s">
        <v>1724</v>
      </c>
      <c r="E846" s="2" t="s">
        <v>8</v>
      </c>
    </row>
    <row r="847" spans="1:5" ht="12.75" customHeight="1" x14ac:dyDescent="0.3">
      <c r="A847" s="2" t="s">
        <v>1725</v>
      </c>
      <c r="B847" s="2" t="s">
        <v>396</v>
      </c>
      <c r="C847" s="3" t="str">
        <f>HYPERLINK("https://springer.com/11106")</f>
        <v>https://springer.com/11106</v>
      </c>
      <c r="D847" s="2" t="s">
        <v>1726</v>
      </c>
      <c r="E847" s="2" t="s">
        <v>8</v>
      </c>
    </row>
    <row r="848" spans="1:5" ht="12.75" customHeight="1" x14ac:dyDescent="0.3">
      <c r="A848" s="2" t="s">
        <v>1727</v>
      </c>
      <c r="B848" s="2" t="s">
        <v>63</v>
      </c>
      <c r="C848" s="3" t="str">
        <f>HYPERLINK("https://springer.com/11107")</f>
        <v>https://springer.com/11107</v>
      </c>
      <c r="D848" s="2" t="s">
        <v>1728</v>
      </c>
      <c r="E848" s="2" t="s">
        <v>8</v>
      </c>
    </row>
    <row r="849" spans="1:5" ht="12.75" customHeight="1" x14ac:dyDescent="0.3">
      <c r="A849" s="2" t="s">
        <v>1729</v>
      </c>
      <c r="B849" s="2" t="s">
        <v>1063</v>
      </c>
      <c r="C849" s="3" t="str">
        <f>HYPERLINK("https://springer.com/11109")</f>
        <v>https://springer.com/11109</v>
      </c>
      <c r="D849" s="2" t="s">
        <v>1730</v>
      </c>
      <c r="E849" s="2" t="s">
        <v>8</v>
      </c>
    </row>
    <row r="850" spans="1:5" ht="12.75" customHeight="1" x14ac:dyDescent="0.3">
      <c r="A850" s="2" t="s">
        <v>1731</v>
      </c>
      <c r="B850" s="2" t="s">
        <v>794</v>
      </c>
      <c r="C850" s="3" t="str">
        <f>HYPERLINK("https://springer.com/11111")</f>
        <v>https://springer.com/11111</v>
      </c>
      <c r="D850" s="2" t="s">
        <v>1732</v>
      </c>
      <c r="E850" s="2" t="s">
        <v>8</v>
      </c>
    </row>
    <row r="851" spans="1:5" ht="12.75" customHeight="1" x14ac:dyDescent="0.3">
      <c r="A851" s="2" t="s">
        <v>1733</v>
      </c>
      <c r="B851" s="2" t="s">
        <v>794</v>
      </c>
      <c r="C851" s="3" t="str">
        <f>HYPERLINK("https://springer.com/11113")</f>
        <v>https://springer.com/11113</v>
      </c>
      <c r="D851" s="2" t="s">
        <v>1734</v>
      </c>
      <c r="E851" s="2" t="s">
        <v>8</v>
      </c>
    </row>
    <row r="852" spans="1:5" ht="12.75" customHeight="1" x14ac:dyDescent="0.3">
      <c r="A852" s="2" t="s">
        <v>1735</v>
      </c>
      <c r="B852" s="2" t="s">
        <v>1063</v>
      </c>
      <c r="C852" s="3" t="str">
        <f>HYPERLINK("https://springer.com/11115")</f>
        <v>https://springer.com/11115</v>
      </c>
      <c r="D852" s="2" t="s">
        <v>1736</v>
      </c>
      <c r="E852" s="2" t="s">
        <v>8</v>
      </c>
    </row>
    <row r="853" spans="1:5" ht="12.75" customHeight="1" x14ac:dyDescent="0.3">
      <c r="A853" s="2" t="s">
        <v>1737</v>
      </c>
      <c r="B853" s="2" t="s">
        <v>151</v>
      </c>
      <c r="C853" s="3" t="str">
        <f>HYPERLINK("https://springer.com/11116")</f>
        <v>https://springer.com/11116</v>
      </c>
      <c r="D853" s="2" t="s">
        <v>1738</v>
      </c>
      <c r="E853" s="2" t="s">
        <v>8</v>
      </c>
    </row>
    <row r="854" spans="1:5" ht="12.75" customHeight="1" x14ac:dyDescent="0.3">
      <c r="A854" s="2" t="s">
        <v>1739</v>
      </c>
      <c r="B854" s="2" t="s">
        <v>10</v>
      </c>
      <c r="C854" s="3" t="str">
        <f>HYPERLINK("https://springer.com/11117")</f>
        <v>https://springer.com/11117</v>
      </c>
      <c r="D854" s="2" t="s">
        <v>1740</v>
      </c>
      <c r="E854" s="2" t="s">
        <v>8</v>
      </c>
    </row>
    <row r="855" spans="1:5" ht="12.75" customHeight="1" x14ac:dyDescent="0.3">
      <c r="A855" s="2" t="s">
        <v>1741</v>
      </c>
      <c r="B855" s="2" t="s">
        <v>10</v>
      </c>
      <c r="C855" s="3" t="str">
        <f>HYPERLINK("https://springer.com/11118")</f>
        <v>https://springer.com/11118</v>
      </c>
      <c r="D855" s="2" t="s">
        <v>1742</v>
      </c>
      <c r="E855" s="2" t="s">
        <v>8</v>
      </c>
    </row>
    <row r="856" spans="1:5" ht="12.75" customHeight="1" x14ac:dyDescent="0.3">
      <c r="A856" s="2" t="s">
        <v>1743</v>
      </c>
      <c r="B856" s="2" t="s">
        <v>6</v>
      </c>
      <c r="C856" s="3" t="str">
        <f>HYPERLINK("https://springer.com/11119")</f>
        <v>https://springer.com/11119</v>
      </c>
      <c r="D856" s="2" t="s">
        <v>1744</v>
      </c>
      <c r="E856" s="2" t="s">
        <v>8</v>
      </c>
    </row>
    <row r="857" spans="1:5" ht="12.75" customHeight="1" x14ac:dyDescent="0.3">
      <c r="A857" s="2" t="s">
        <v>1745</v>
      </c>
      <c r="B857" s="2" t="s">
        <v>6</v>
      </c>
      <c r="C857" s="3" t="str">
        <f>HYPERLINK("https://springer.com/11120")</f>
        <v>https://springer.com/11120</v>
      </c>
      <c r="D857" s="2" t="s">
        <v>1746</v>
      </c>
      <c r="E857" s="2" t="s">
        <v>8</v>
      </c>
    </row>
    <row r="858" spans="1:5" ht="12.75" customHeight="1" x14ac:dyDescent="0.3">
      <c r="A858" s="2" t="s">
        <v>1747</v>
      </c>
      <c r="B858" s="2" t="s">
        <v>78</v>
      </c>
      <c r="C858" s="3" t="str">
        <f>HYPERLINK("https://springer.com/11121")</f>
        <v>https://springer.com/11121</v>
      </c>
      <c r="D858" s="2" t="s">
        <v>1748</v>
      </c>
      <c r="E858" s="2" t="s">
        <v>8</v>
      </c>
    </row>
    <row r="859" spans="1:5" ht="12.75" customHeight="1" x14ac:dyDescent="0.3">
      <c r="A859" s="2" t="s">
        <v>1749</v>
      </c>
      <c r="B859" s="2" t="s">
        <v>56</v>
      </c>
      <c r="C859" s="3" t="str">
        <f>HYPERLINK("https://springer.com/11122")</f>
        <v>https://springer.com/11122</v>
      </c>
      <c r="D859" s="2" t="s">
        <v>1750</v>
      </c>
      <c r="E859" s="2"/>
    </row>
    <row r="860" spans="1:5" ht="12.75" customHeight="1" x14ac:dyDescent="0.3">
      <c r="A860" s="2" t="s">
        <v>1751</v>
      </c>
      <c r="B860" s="2" t="s">
        <v>151</v>
      </c>
      <c r="C860" s="3" t="str">
        <f>HYPERLINK("https://springer.com/11123")</f>
        <v>https://springer.com/11123</v>
      </c>
      <c r="D860" s="2" t="s">
        <v>1752</v>
      </c>
      <c r="E860" s="2" t="s">
        <v>8</v>
      </c>
    </row>
    <row r="861" spans="1:5" ht="12.75" customHeight="1" x14ac:dyDescent="0.3">
      <c r="A861" s="2" t="s">
        <v>1753</v>
      </c>
      <c r="B861" s="2" t="s">
        <v>396</v>
      </c>
      <c r="C861" s="3" t="str">
        <f>HYPERLINK("https://springer.com/11124")</f>
        <v>https://springer.com/11124</v>
      </c>
      <c r="D861" s="2" t="s">
        <v>1754</v>
      </c>
      <c r="E861" s="2"/>
    </row>
    <row r="862" spans="1:5" ht="12.75" customHeight="1" x14ac:dyDescent="0.3">
      <c r="A862" s="2" t="s">
        <v>1755</v>
      </c>
      <c r="B862" s="2" t="s">
        <v>753</v>
      </c>
      <c r="C862" s="3" t="str">
        <f>HYPERLINK("https://springer.com/11125")</f>
        <v>https://springer.com/11125</v>
      </c>
      <c r="D862" s="2" t="s">
        <v>1756</v>
      </c>
      <c r="E862" s="2" t="s">
        <v>8</v>
      </c>
    </row>
    <row r="863" spans="1:5" ht="12.75" customHeight="1" x14ac:dyDescent="0.3">
      <c r="A863" s="2" t="s">
        <v>1757</v>
      </c>
      <c r="B863" s="2" t="s">
        <v>78</v>
      </c>
      <c r="C863" s="3" t="str">
        <f>HYPERLINK("https://springer.com/11126")</f>
        <v>https://springer.com/11126</v>
      </c>
      <c r="D863" s="2" t="s">
        <v>1758</v>
      </c>
      <c r="E863" s="2" t="s">
        <v>8</v>
      </c>
    </row>
    <row r="864" spans="1:5" ht="12.75" customHeight="1" x14ac:dyDescent="0.3">
      <c r="A864" s="2" t="s">
        <v>1759</v>
      </c>
      <c r="B864" s="2" t="s">
        <v>151</v>
      </c>
      <c r="C864" s="3" t="str">
        <f>HYPERLINK("https://springer.com/11127")</f>
        <v>https://springer.com/11127</v>
      </c>
      <c r="D864" s="2" t="s">
        <v>1760</v>
      </c>
      <c r="E864" s="2" t="s">
        <v>8</v>
      </c>
    </row>
    <row r="865" spans="1:5" ht="12.75" customHeight="1" x14ac:dyDescent="0.3">
      <c r="A865" s="2" t="s">
        <v>1761</v>
      </c>
      <c r="B865" s="2" t="s">
        <v>13</v>
      </c>
      <c r="C865" s="3" t="str">
        <f>HYPERLINK("https://springer.com/11128")</f>
        <v>https://springer.com/11128</v>
      </c>
      <c r="D865" s="2" t="s">
        <v>1762</v>
      </c>
      <c r="E865" s="2" t="s">
        <v>8</v>
      </c>
    </row>
    <row r="866" spans="1:5" ht="12.75" customHeight="1" x14ac:dyDescent="0.3">
      <c r="A866" s="2" t="s">
        <v>1763</v>
      </c>
      <c r="B866" s="2" t="s">
        <v>181</v>
      </c>
      <c r="C866" s="3" t="str">
        <f>HYPERLINK("https://springer.com/11129")</f>
        <v>https://springer.com/11129</v>
      </c>
      <c r="D866" s="2" t="s">
        <v>1764</v>
      </c>
      <c r="E866" s="2" t="s">
        <v>8</v>
      </c>
    </row>
    <row r="867" spans="1:5" ht="12.75" customHeight="1" x14ac:dyDescent="0.3">
      <c r="A867" s="2" t="s">
        <v>1765</v>
      </c>
      <c r="B867" s="2" t="s">
        <v>218</v>
      </c>
      <c r="C867" s="3" t="str">
        <f>HYPERLINK("https://springer.com/11130")</f>
        <v>https://springer.com/11130</v>
      </c>
      <c r="D867" s="2" t="s">
        <v>1766</v>
      </c>
      <c r="E867" s="2" t="s">
        <v>8</v>
      </c>
    </row>
    <row r="868" spans="1:5" ht="12.75" customHeight="1" x14ac:dyDescent="0.3">
      <c r="A868" s="2" t="s">
        <v>1767</v>
      </c>
      <c r="B868" s="2" t="s">
        <v>794</v>
      </c>
      <c r="C868" s="3" t="str">
        <f>HYPERLINK("https://springer.com/11133")</f>
        <v>https://springer.com/11133</v>
      </c>
      <c r="D868" s="2" t="s">
        <v>1768</v>
      </c>
      <c r="E868" s="2" t="s">
        <v>8</v>
      </c>
    </row>
    <row r="869" spans="1:5" ht="12.75" customHeight="1" x14ac:dyDescent="0.3">
      <c r="A869" s="2" t="s">
        <v>1769</v>
      </c>
      <c r="B869" s="2" t="s">
        <v>181</v>
      </c>
      <c r="C869" s="3" t="str">
        <f>HYPERLINK("https://springer.com/11134")</f>
        <v>https://springer.com/11134</v>
      </c>
      <c r="D869" s="2" t="s">
        <v>1770</v>
      </c>
      <c r="E869" s="2" t="s">
        <v>8</v>
      </c>
    </row>
    <row r="870" spans="1:5" ht="12.75" customHeight="1" x14ac:dyDescent="0.3">
      <c r="A870" s="2" t="s">
        <v>1771</v>
      </c>
      <c r="B870" s="2" t="s">
        <v>794</v>
      </c>
      <c r="C870" s="3" t="str">
        <f>HYPERLINK("https://springer.com/11135")</f>
        <v>https://springer.com/11135</v>
      </c>
      <c r="D870" s="2" t="s">
        <v>1772</v>
      </c>
      <c r="E870" s="2" t="s">
        <v>8</v>
      </c>
    </row>
    <row r="871" spans="1:5" ht="12.75" customHeight="1" x14ac:dyDescent="0.3">
      <c r="A871" s="2" t="s">
        <v>1773</v>
      </c>
      <c r="B871" s="2" t="s">
        <v>78</v>
      </c>
      <c r="C871" s="3" t="str">
        <f>HYPERLINK("https://springer.com/11136")</f>
        <v>https://springer.com/11136</v>
      </c>
      <c r="D871" s="2" t="s">
        <v>1774</v>
      </c>
      <c r="E871" s="2" t="s">
        <v>8</v>
      </c>
    </row>
    <row r="872" spans="1:5" ht="12.75" customHeight="1" x14ac:dyDescent="0.3">
      <c r="A872" s="2" t="s">
        <v>1775</v>
      </c>
      <c r="B872" s="2" t="s">
        <v>218</v>
      </c>
      <c r="C872" s="3" t="str">
        <f>HYPERLINK("https://springer.com/11137")</f>
        <v>https://springer.com/11137</v>
      </c>
      <c r="D872" s="2" t="s">
        <v>1776</v>
      </c>
      <c r="E872" s="2"/>
    </row>
    <row r="873" spans="1:5" ht="12.75" customHeight="1" x14ac:dyDescent="0.3">
      <c r="A873" s="2" t="s">
        <v>1777</v>
      </c>
      <c r="B873" s="2" t="s">
        <v>151</v>
      </c>
      <c r="C873" s="3" t="str">
        <f>HYPERLINK("https://springer.com/11138")</f>
        <v>https://springer.com/11138</v>
      </c>
      <c r="D873" s="2" t="s">
        <v>1778</v>
      </c>
      <c r="E873" s="2" t="s">
        <v>8</v>
      </c>
    </row>
    <row r="874" spans="1:5" ht="12.75" customHeight="1" x14ac:dyDescent="0.3">
      <c r="A874" s="2" t="s">
        <v>1779</v>
      </c>
      <c r="B874" s="2" t="s">
        <v>10</v>
      </c>
      <c r="C874" s="3" t="str">
        <f>HYPERLINK("https://springer.com/11139")</f>
        <v>https://springer.com/11139</v>
      </c>
      <c r="D874" s="2" t="s">
        <v>1780</v>
      </c>
      <c r="E874" s="2" t="s">
        <v>8</v>
      </c>
    </row>
    <row r="875" spans="1:5" ht="12.75" customHeight="1" x14ac:dyDescent="0.3">
      <c r="A875" s="2" t="s">
        <v>1781</v>
      </c>
      <c r="B875" s="2" t="s">
        <v>181</v>
      </c>
      <c r="C875" s="3" t="str">
        <f>HYPERLINK("https://springer.com/11142")</f>
        <v>https://springer.com/11142</v>
      </c>
      <c r="D875" s="2" t="s">
        <v>1782</v>
      </c>
      <c r="E875" s="2" t="s">
        <v>8</v>
      </c>
    </row>
    <row r="876" spans="1:5" ht="12.75" customHeight="1" x14ac:dyDescent="0.3">
      <c r="A876" s="2" t="s">
        <v>1783</v>
      </c>
      <c r="B876" s="2" t="s">
        <v>218</v>
      </c>
      <c r="C876" s="3" t="str">
        <f>HYPERLINK("https://springer.com/11144")</f>
        <v>https://springer.com/11144</v>
      </c>
      <c r="D876" s="2" t="s">
        <v>1784</v>
      </c>
      <c r="E876" s="2" t="s">
        <v>8</v>
      </c>
    </row>
    <row r="877" spans="1:5" ht="12.75" customHeight="1" x14ac:dyDescent="0.3">
      <c r="A877" s="2" t="s">
        <v>1785</v>
      </c>
      <c r="B877" s="2" t="s">
        <v>1030</v>
      </c>
      <c r="C877" s="3" t="str">
        <f>HYPERLINK("https://springer.com/11145")</f>
        <v>https://springer.com/11145</v>
      </c>
      <c r="D877" s="2" t="s">
        <v>1786</v>
      </c>
      <c r="E877" s="2" t="s">
        <v>8</v>
      </c>
    </row>
    <row r="878" spans="1:5" ht="12.75" customHeight="1" x14ac:dyDescent="0.3">
      <c r="A878" s="2" t="s">
        <v>1787</v>
      </c>
      <c r="B878" s="2" t="s">
        <v>151</v>
      </c>
      <c r="C878" s="3" t="str">
        <f>HYPERLINK("https://springer.com/11146")</f>
        <v>https://springer.com/11146</v>
      </c>
      <c r="D878" s="2" t="s">
        <v>1788</v>
      </c>
      <c r="E878" s="2" t="s">
        <v>8</v>
      </c>
    </row>
    <row r="879" spans="1:5" ht="12.75" customHeight="1" x14ac:dyDescent="0.3">
      <c r="A879" s="2" t="s">
        <v>1789</v>
      </c>
      <c r="B879" s="2" t="s">
        <v>857</v>
      </c>
      <c r="C879" s="3" t="str">
        <f>HYPERLINK("https://springer.com/11147")</f>
        <v>https://springer.com/11147</v>
      </c>
      <c r="D879" s="2" t="s">
        <v>1790</v>
      </c>
      <c r="E879" s="2" t="s">
        <v>8</v>
      </c>
    </row>
    <row r="880" spans="1:5" ht="12.75" customHeight="1" x14ac:dyDescent="0.3">
      <c r="A880" s="2" t="s">
        <v>1791</v>
      </c>
      <c r="B880" s="2" t="s">
        <v>151</v>
      </c>
      <c r="C880" s="3" t="str">
        <f>HYPERLINK("https://springer.com/11149")</f>
        <v>https://springer.com/11149</v>
      </c>
      <c r="D880" s="2" t="s">
        <v>1792</v>
      </c>
      <c r="E880" s="2" t="s">
        <v>8</v>
      </c>
    </row>
    <row r="881" spans="1:5" ht="12.75" customHeight="1" x14ac:dyDescent="0.3">
      <c r="A881" s="2" t="s">
        <v>1793</v>
      </c>
      <c r="B881" s="2" t="s">
        <v>151</v>
      </c>
      <c r="C881" s="3" t="str">
        <f>HYPERLINK("https://springer.com/11150")</f>
        <v>https://springer.com/11150</v>
      </c>
      <c r="D881" s="2" t="s">
        <v>1794</v>
      </c>
      <c r="E881" s="2" t="s">
        <v>8</v>
      </c>
    </row>
    <row r="882" spans="1:5" ht="12.75" customHeight="1" x14ac:dyDescent="0.3">
      <c r="A882" s="2" t="s">
        <v>1795</v>
      </c>
      <c r="B882" s="2" t="s">
        <v>151</v>
      </c>
      <c r="C882" s="3" t="str">
        <f>HYPERLINK("https://springer.com/11151")</f>
        <v>https://springer.com/11151</v>
      </c>
      <c r="D882" s="2" t="s">
        <v>1796</v>
      </c>
      <c r="E882" s="2" t="s">
        <v>8</v>
      </c>
    </row>
    <row r="883" spans="1:5" ht="12.75" customHeight="1" x14ac:dyDescent="0.3">
      <c r="A883" s="2" t="s">
        <v>1797</v>
      </c>
      <c r="B883" s="2" t="s">
        <v>868</v>
      </c>
      <c r="C883" s="3" t="str">
        <f>HYPERLINK("https://springer.com/11153")</f>
        <v>https://springer.com/11153</v>
      </c>
      <c r="D883" s="2" t="s">
        <v>1798</v>
      </c>
      <c r="E883" s="2" t="s">
        <v>8</v>
      </c>
    </row>
    <row r="884" spans="1:5" ht="12.75" customHeight="1" x14ac:dyDescent="0.3">
      <c r="A884" s="2" t="s">
        <v>1799</v>
      </c>
      <c r="B884" s="2" t="s">
        <v>78</v>
      </c>
      <c r="C884" s="3" t="str">
        <f>HYPERLINK("https://springer.com/11154")</f>
        <v>https://springer.com/11154</v>
      </c>
      <c r="D884" s="2" t="s">
        <v>1800</v>
      </c>
      <c r="E884" s="2" t="s">
        <v>8</v>
      </c>
    </row>
    <row r="885" spans="1:5" ht="12.75" customHeight="1" x14ac:dyDescent="0.3">
      <c r="A885" s="2" t="s">
        <v>1801</v>
      </c>
      <c r="B885" s="2" t="s">
        <v>857</v>
      </c>
      <c r="C885" s="3" t="str">
        <f>HYPERLINK("https://springer.com/11156")</f>
        <v>https://springer.com/11156</v>
      </c>
      <c r="D885" s="2" t="s">
        <v>1802</v>
      </c>
      <c r="E885" s="2" t="s">
        <v>8</v>
      </c>
    </row>
    <row r="886" spans="1:5" ht="12.75" customHeight="1" x14ac:dyDescent="0.3">
      <c r="A886" s="2" t="s">
        <v>1803</v>
      </c>
      <c r="B886" s="2" t="s">
        <v>133</v>
      </c>
      <c r="C886" s="3" t="str">
        <f>HYPERLINK("https://springer.com/11157")</f>
        <v>https://springer.com/11157</v>
      </c>
      <c r="D886" s="2" t="s">
        <v>1804</v>
      </c>
      <c r="E886" s="2" t="s">
        <v>8</v>
      </c>
    </row>
    <row r="887" spans="1:5" ht="12.75" customHeight="1" x14ac:dyDescent="0.3">
      <c r="A887" s="2" t="s">
        <v>1805</v>
      </c>
      <c r="B887" s="2" t="s">
        <v>868</v>
      </c>
      <c r="C887" s="3" t="str">
        <f>HYPERLINK("https://springer.com/11158")</f>
        <v>https://springer.com/11158</v>
      </c>
      <c r="D887" s="2" t="s">
        <v>1806</v>
      </c>
      <c r="E887" s="2" t="s">
        <v>8</v>
      </c>
    </row>
    <row r="888" spans="1:5" ht="12.75" customHeight="1" x14ac:dyDescent="0.3">
      <c r="A888" s="2" t="s">
        <v>1807</v>
      </c>
      <c r="B888" s="2" t="s">
        <v>753</v>
      </c>
      <c r="C888" s="3" t="str">
        <f>HYPERLINK("https://springer.com/11159")</f>
        <v>https://springer.com/11159</v>
      </c>
      <c r="D888" s="2" t="s">
        <v>1808</v>
      </c>
      <c r="E888" s="2" t="s">
        <v>8</v>
      </c>
    </row>
    <row r="889" spans="1:5" ht="12.75" customHeight="1" x14ac:dyDescent="0.3">
      <c r="A889" s="2" t="s">
        <v>1809</v>
      </c>
      <c r="B889" s="2" t="s">
        <v>6</v>
      </c>
      <c r="C889" s="3" t="str">
        <f>HYPERLINK("https://springer.com/11160")</f>
        <v>https://springer.com/11160</v>
      </c>
      <c r="D889" s="2" t="s">
        <v>1810</v>
      </c>
      <c r="E889" s="2" t="s">
        <v>8</v>
      </c>
    </row>
    <row r="890" spans="1:5" ht="12.75" customHeight="1" x14ac:dyDescent="0.3">
      <c r="A890" s="2" t="s">
        <v>1811</v>
      </c>
      <c r="B890" s="2" t="s">
        <v>753</v>
      </c>
      <c r="C890" s="3" t="str">
        <f>HYPERLINK("https://springer.com/11162")</f>
        <v>https://springer.com/11162</v>
      </c>
      <c r="D890" s="2" t="s">
        <v>1812</v>
      </c>
      <c r="E890" s="2" t="s">
        <v>8</v>
      </c>
    </row>
    <row r="891" spans="1:5" ht="12.75" customHeight="1" x14ac:dyDescent="0.3">
      <c r="A891" s="2" t="s">
        <v>1813</v>
      </c>
      <c r="B891" s="2" t="s">
        <v>218</v>
      </c>
      <c r="C891" s="3" t="str">
        <f>HYPERLINK("https://springer.com/11164")</f>
        <v>https://springer.com/11164</v>
      </c>
      <c r="D891" s="2" t="s">
        <v>1814</v>
      </c>
      <c r="E891" s="2" t="s">
        <v>8</v>
      </c>
    </row>
    <row r="892" spans="1:5" ht="12.75" customHeight="1" x14ac:dyDescent="0.3">
      <c r="A892" s="2" t="s">
        <v>1815</v>
      </c>
      <c r="B892" s="2" t="s">
        <v>753</v>
      </c>
      <c r="C892" s="3" t="str">
        <f>HYPERLINK("https://springer.com/11165")</f>
        <v>https://springer.com/11165</v>
      </c>
      <c r="D892" s="2" t="s">
        <v>1816</v>
      </c>
      <c r="E892" s="2" t="s">
        <v>8</v>
      </c>
    </row>
    <row r="893" spans="1:5" ht="12.75" customHeight="1" x14ac:dyDescent="0.3">
      <c r="A893" s="2" t="s">
        <v>1817</v>
      </c>
      <c r="B893" s="2" t="s">
        <v>151</v>
      </c>
      <c r="C893" s="3" t="str">
        <f>HYPERLINK("https://springer.com/11166")</f>
        <v>https://springer.com/11166</v>
      </c>
      <c r="D893" s="2" t="s">
        <v>1818</v>
      </c>
      <c r="E893" s="2" t="s">
        <v>8</v>
      </c>
    </row>
    <row r="894" spans="1:5" ht="12.75" customHeight="1" x14ac:dyDescent="0.3">
      <c r="A894" s="2" t="s">
        <v>1819</v>
      </c>
      <c r="B894" s="2" t="s">
        <v>218</v>
      </c>
      <c r="C894" s="3" t="str">
        <f>HYPERLINK("https://springer.com/11167")</f>
        <v>https://springer.com/11167</v>
      </c>
      <c r="D894" s="2" t="s">
        <v>1820</v>
      </c>
      <c r="E894" s="2"/>
    </row>
    <row r="895" spans="1:5" ht="12.75" customHeight="1" x14ac:dyDescent="0.3">
      <c r="A895" s="2" t="s">
        <v>1821</v>
      </c>
      <c r="B895" s="2" t="s">
        <v>6</v>
      </c>
      <c r="C895" s="3" t="str">
        <f>HYPERLINK("https://springer.com/11171")</f>
        <v>https://springer.com/11171</v>
      </c>
      <c r="D895" s="2" t="s">
        <v>1822</v>
      </c>
      <c r="E895" s="2"/>
    </row>
    <row r="896" spans="1:5" ht="12.75" customHeight="1" x14ac:dyDescent="0.3">
      <c r="A896" s="2" t="s">
        <v>1823</v>
      </c>
      <c r="B896" s="2" t="s">
        <v>218</v>
      </c>
      <c r="C896" s="3" t="str">
        <f>HYPERLINK("https://springer.com/11173")</f>
        <v>https://springer.com/11173</v>
      </c>
      <c r="D896" s="2" t="s">
        <v>1824</v>
      </c>
      <c r="E896" s="2"/>
    </row>
    <row r="897" spans="1:5" ht="12.75" customHeight="1" x14ac:dyDescent="0.3">
      <c r="A897" s="2" t="s">
        <v>1825</v>
      </c>
      <c r="B897" s="2" t="s">
        <v>6</v>
      </c>
      <c r="C897" s="3" t="str">
        <f>HYPERLINK("https://springer.com/11174")</f>
        <v>https://springer.com/11174</v>
      </c>
      <c r="D897" s="2" t="s">
        <v>1826</v>
      </c>
      <c r="E897" s="2"/>
    </row>
    <row r="898" spans="1:5" ht="12.75" customHeight="1" x14ac:dyDescent="0.3">
      <c r="A898" s="2" t="s">
        <v>1827</v>
      </c>
      <c r="B898" s="2" t="s">
        <v>218</v>
      </c>
      <c r="C898" s="3" t="str">
        <f>HYPERLINK("https://springer.com/11175")</f>
        <v>https://springer.com/11175</v>
      </c>
      <c r="D898" s="2" t="s">
        <v>1828</v>
      </c>
      <c r="E898" s="2"/>
    </row>
    <row r="899" spans="1:5" ht="12.75" customHeight="1" x14ac:dyDescent="0.3">
      <c r="A899" s="2" t="s">
        <v>1829</v>
      </c>
      <c r="B899" s="2" t="s">
        <v>218</v>
      </c>
      <c r="C899" s="3" t="str">
        <f>HYPERLINK("https://springer.com/11176")</f>
        <v>https://springer.com/11176</v>
      </c>
      <c r="D899" s="2" t="s">
        <v>1830</v>
      </c>
      <c r="E899" s="2"/>
    </row>
    <row r="900" spans="1:5" ht="12.75" customHeight="1" x14ac:dyDescent="0.3">
      <c r="A900" s="2" t="s">
        <v>1831</v>
      </c>
      <c r="B900" s="2" t="s">
        <v>20</v>
      </c>
      <c r="C900" s="3" t="str">
        <f>HYPERLINK("https://springer.com/11177")</f>
        <v>https://springer.com/11177</v>
      </c>
      <c r="D900" s="2" t="s">
        <v>1832</v>
      </c>
      <c r="E900" s="2"/>
    </row>
    <row r="901" spans="1:5" ht="12.75" customHeight="1" x14ac:dyDescent="0.3">
      <c r="A901" s="2" t="s">
        <v>1833</v>
      </c>
      <c r="B901" s="2" t="s">
        <v>218</v>
      </c>
      <c r="C901" s="3" t="str">
        <f>HYPERLINK("https://springer.com/11178")</f>
        <v>https://springer.com/11178</v>
      </c>
      <c r="D901" s="2" t="s">
        <v>1834</v>
      </c>
      <c r="E901" s="2"/>
    </row>
    <row r="902" spans="1:5" ht="12.75" customHeight="1" x14ac:dyDescent="0.3">
      <c r="A902" s="2" t="s">
        <v>1835</v>
      </c>
      <c r="B902" s="2" t="s">
        <v>6</v>
      </c>
      <c r="C902" s="3" t="str">
        <f>HYPERLINK("https://springer.com/11179")</f>
        <v>https://springer.com/11179</v>
      </c>
      <c r="D902" s="2" t="s">
        <v>1836</v>
      </c>
      <c r="E902" s="2"/>
    </row>
    <row r="903" spans="1:5" ht="12.75" customHeight="1" x14ac:dyDescent="0.3">
      <c r="A903" s="2" t="s">
        <v>1837</v>
      </c>
      <c r="B903" s="2" t="s">
        <v>56</v>
      </c>
      <c r="C903" s="3" t="str">
        <f>HYPERLINK("https://springer.com/11180")</f>
        <v>https://springer.com/11180</v>
      </c>
      <c r="D903" s="2" t="s">
        <v>1838</v>
      </c>
      <c r="E903" s="2"/>
    </row>
    <row r="904" spans="1:5" ht="12.75" customHeight="1" x14ac:dyDescent="0.3">
      <c r="A904" s="2" t="s">
        <v>1839</v>
      </c>
      <c r="B904" s="2" t="s">
        <v>396</v>
      </c>
      <c r="C904" s="3" t="str">
        <f>HYPERLINK("https://springer.com/11181")</f>
        <v>https://springer.com/11181</v>
      </c>
      <c r="D904" s="2" t="s">
        <v>1840</v>
      </c>
      <c r="E904" s="2"/>
    </row>
    <row r="905" spans="1:5" ht="12.75" customHeight="1" x14ac:dyDescent="0.3">
      <c r="A905" s="2" t="s">
        <v>1841</v>
      </c>
      <c r="B905" s="2" t="s">
        <v>13</v>
      </c>
      <c r="C905" s="3" t="str">
        <f>HYPERLINK("https://springer.com/11182")</f>
        <v>https://springer.com/11182</v>
      </c>
      <c r="D905" s="2" t="s">
        <v>1842</v>
      </c>
      <c r="E905" s="2" t="s">
        <v>8</v>
      </c>
    </row>
    <row r="906" spans="1:5" ht="12.75" customHeight="1" x14ac:dyDescent="0.3">
      <c r="A906" s="2" t="s">
        <v>1843</v>
      </c>
      <c r="B906" s="2" t="s">
        <v>6</v>
      </c>
      <c r="C906" s="3" t="str">
        <f>HYPERLINK("https://springer.com/11183")</f>
        <v>https://springer.com/11183</v>
      </c>
      <c r="D906" s="2" t="s">
        <v>1844</v>
      </c>
      <c r="E906" s="2"/>
    </row>
    <row r="907" spans="1:5" ht="12.75" customHeight="1" x14ac:dyDescent="0.3">
      <c r="A907" s="2" t="s">
        <v>1845</v>
      </c>
      <c r="B907" s="2" t="s">
        <v>6</v>
      </c>
      <c r="C907" s="3" t="str">
        <f>HYPERLINK("https://springer.com/11184")</f>
        <v>https://springer.com/11184</v>
      </c>
      <c r="D907" s="2" t="s">
        <v>1846</v>
      </c>
      <c r="E907" s="2"/>
    </row>
    <row r="908" spans="1:5" ht="12.75" customHeight="1" x14ac:dyDescent="0.3">
      <c r="A908" s="2" t="s">
        <v>1847</v>
      </c>
      <c r="B908" s="2" t="s">
        <v>1030</v>
      </c>
      <c r="C908" s="3" t="str">
        <f>HYPERLINK("https://springer.com/11185")</f>
        <v>https://springer.com/11185</v>
      </c>
      <c r="D908" s="2" t="s">
        <v>1848</v>
      </c>
      <c r="E908" s="2" t="s">
        <v>8</v>
      </c>
    </row>
    <row r="909" spans="1:5" ht="12.75" customHeight="1" x14ac:dyDescent="0.3">
      <c r="A909" s="2" t="s">
        <v>1849</v>
      </c>
      <c r="B909" s="2" t="s">
        <v>794</v>
      </c>
      <c r="C909" s="3" t="str">
        <f>HYPERLINK("https://springer.com/11186")</f>
        <v>https://springer.com/11186</v>
      </c>
      <c r="D909" s="2" t="s">
        <v>1850</v>
      </c>
      <c r="E909" s="2" t="s">
        <v>8</v>
      </c>
    </row>
    <row r="910" spans="1:5" ht="12.75" customHeight="1" x14ac:dyDescent="0.3">
      <c r="A910" s="2" t="s">
        <v>1851</v>
      </c>
      <c r="B910" s="2" t="s">
        <v>181</v>
      </c>
      <c r="C910" s="3" t="str">
        <f>HYPERLINK("https://springer.com/11187")</f>
        <v>https://springer.com/11187</v>
      </c>
      <c r="D910" s="2" t="s">
        <v>1852</v>
      </c>
      <c r="E910" s="2" t="s">
        <v>8</v>
      </c>
    </row>
    <row r="911" spans="1:5" ht="12.75" customHeight="1" x14ac:dyDescent="0.3">
      <c r="A911" s="2" t="s">
        <v>1853</v>
      </c>
      <c r="B911" s="2" t="s">
        <v>753</v>
      </c>
      <c r="C911" s="3" t="str">
        <f>HYPERLINK("https://springer.com/11191")</f>
        <v>https://springer.com/11191</v>
      </c>
      <c r="D911" s="2" t="s">
        <v>1854</v>
      </c>
      <c r="E911" s="2" t="s">
        <v>8</v>
      </c>
    </row>
    <row r="912" spans="1:5" ht="12.75" customHeight="1" x14ac:dyDescent="0.3">
      <c r="A912" s="2" t="s">
        <v>1855</v>
      </c>
      <c r="B912" s="2" t="s">
        <v>63</v>
      </c>
      <c r="C912" s="3" t="str">
        <f>HYPERLINK("https://springer.com/11192")</f>
        <v>https://springer.com/11192</v>
      </c>
      <c r="D912" s="2" t="s">
        <v>1856</v>
      </c>
      <c r="E912" s="2" t="s">
        <v>8</v>
      </c>
    </row>
    <row r="913" spans="1:5" ht="12.75" customHeight="1" x14ac:dyDescent="0.3">
      <c r="A913" s="2" t="s">
        <v>1857</v>
      </c>
      <c r="B913" s="2" t="s">
        <v>443</v>
      </c>
      <c r="C913" s="3" t="str">
        <f>HYPERLINK("https://springer.com/11195")</f>
        <v>https://springer.com/11195</v>
      </c>
      <c r="D913" s="2" t="s">
        <v>1858</v>
      </c>
      <c r="E913" s="2" t="s">
        <v>8</v>
      </c>
    </row>
    <row r="914" spans="1:5" ht="12.75" customHeight="1" x14ac:dyDescent="0.3">
      <c r="A914" s="2" t="s">
        <v>1859</v>
      </c>
      <c r="B914" s="2" t="s">
        <v>347</v>
      </c>
      <c r="C914" s="3" t="str">
        <f>HYPERLINK("https://springer.com/11196")</f>
        <v>https://springer.com/11196</v>
      </c>
      <c r="D914" s="2" t="s">
        <v>1860</v>
      </c>
      <c r="E914" s="2" t="s">
        <v>8</v>
      </c>
    </row>
    <row r="915" spans="1:5" ht="12.75" customHeight="1" x14ac:dyDescent="0.3">
      <c r="A915" s="2" t="s">
        <v>1861</v>
      </c>
      <c r="B915" s="2" t="s">
        <v>443</v>
      </c>
      <c r="C915" s="3" t="str">
        <f>HYPERLINK("https://springer.com/11199")</f>
        <v>https://springer.com/11199</v>
      </c>
      <c r="D915" s="2" t="s">
        <v>1862</v>
      </c>
      <c r="E915" s="2" t="s">
        <v>8</v>
      </c>
    </row>
    <row r="916" spans="1:5" ht="12.75" customHeight="1" x14ac:dyDescent="0.3">
      <c r="A916" s="2" t="s">
        <v>1863</v>
      </c>
      <c r="B916" s="2" t="s">
        <v>26</v>
      </c>
      <c r="C916" s="3" t="str">
        <f>HYPERLINK("https://springer.com/11200")</f>
        <v>https://springer.com/11200</v>
      </c>
      <c r="D916" s="2" t="s">
        <v>1864</v>
      </c>
      <c r="E916" s="2" t="s">
        <v>8</v>
      </c>
    </row>
    <row r="917" spans="1:5" ht="12.75" customHeight="1" x14ac:dyDescent="0.3">
      <c r="A917" s="2" t="s">
        <v>1865</v>
      </c>
      <c r="B917" s="2" t="s">
        <v>10</v>
      </c>
      <c r="C917" s="3" t="str">
        <f>HYPERLINK("https://springer.com/11202")</f>
        <v>https://springer.com/11202</v>
      </c>
      <c r="D917" s="2" t="s">
        <v>1866</v>
      </c>
      <c r="E917" s="2"/>
    </row>
    <row r="918" spans="1:5" ht="12.75" customHeight="1" x14ac:dyDescent="0.3">
      <c r="A918" s="2" t="s">
        <v>1867</v>
      </c>
      <c r="B918" s="2" t="s">
        <v>10</v>
      </c>
      <c r="C918" s="3" t="str">
        <f>HYPERLINK("https://springer.com/11203")</f>
        <v>https://springer.com/11203</v>
      </c>
      <c r="D918" s="2" t="s">
        <v>1868</v>
      </c>
      <c r="E918" s="2" t="s">
        <v>8</v>
      </c>
    </row>
    <row r="919" spans="1:5" ht="12.75" customHeight="1" x14ac:dyDescent="0.3">
      <c r="A919" s="2" t="s">
        <v>1869</v>
      </c>
      <c r="B919" s="2" t="s">
        <v>794</v>
      </c>
      <c r="C919" s="3" t="str">
        <f>HYPERLINK("https://springer.com/11205")</f>
        <v>https://springer.com/11205</v>
      </c>
      <c r="D919" s="2" t="s">
        <v>1870</v>
      </c>
      <c r="E919" s="2" t="s">
        <v>8</v>
      </c>
    </row>
    <row r="920" spans="1:5" ht="12.75" customHeight="1" x14ac:dyDescent="0.3">
      <c r="A920" s="2" t="s">
        <v>1871</v>
      </c>
      <c r="B920" s="2" t="s">
        <v>13</v>
      </c>
      <c r="C920" s="3" t="str">
        <f>HYPERLINK("https://springer.com/11207")</f>
        <v>https://springer.com/11207</v>
      </c>
      <c r="D920" s="2" t="s">
        <v>1872</v>
      </c>
      <c r="E920" s="2" t="s">
        <v>8</v>
      </c>
    </row>
    <row r="921" spans="1:5" ht="12.75" customHeight="1" x14ac:dyDescent="0.3">
      <c r="A921" s="2" t="s">
        <v>1873</v>
      </c>
      <c r="B921" s="2" t="s">
        <v>13</v>
      </c>
      <c r="C921" s="3" t="str">
        <f>HYPERLINK("https://springer.com/11208")</f>
        <v>https://springer.com/11208</v>
      </c>
      <c r="D921" s="2" t="s">
        <v>1874</v>
      </c>
      <c r="E921" s="2"/>
    </row>
    <row r="922" spans="1:5" ht="12.75" customHeight="1" x14ac:dyDescent="0.3">
      <c r="A922" s="2" t="s">
        <v>1875</v>
      </c>
      <c r="B922" s="2" t="s">
        <v>443</v>
      </c>
      <c r="C922" s="3" t="str">
        <f>HYPERLINK("https://springer.com/11211")</f>
        <v>https://springer.com/11211</v>
      </c>
      <c r="D922" s="2" t="s">
        <v>1876</v>
      </c>
      <c r="E922" s="2" t="s">
        <v>8</v>
      </c>
    </row>
    <row r="923" spans="1:5" ht="12.75" customHeight="1" x14ac:dyDescent="0.3">
      <c r="A923" s="2" t="s">
        <v>1877</v>
      </c>
      <c r="B923" s="2" t="s">
        <v>868</v>
      </c>
      <c r="C923" s="3" t="str">
        <f>HYPERLINK("https://springer.com/11212")</f>
        <v>https://springer.com/11212</v>
      </c>
      <c r="D923" s="2" t="s">
        <v>1878</v>
      </c>
      <c r="E923" s="2" t="s">
        <v>8</v>
      </c>
    </row>
    <row r="924" spans="1:5" ht="12.75" customHeight="1" x14ac:dyDescent="0.3">
      <c r="A924" s="2" t="s">
        <v>1879</v>
      </c>
      <c r="B924" s="2" t="s">
        <v>181</v>
      </c>
      <c r="C924" s="3" t="str">
        <f>HYPERLINK("https://springer.com/11213")</f>
        <v>https://springer.com/11213</v>
      </c>
      <c r="D924" s="2" t="s">
        <v>1880</v>
      </c>
      <c r="E924" s="2" t="s">
        <v>8</v>
      </c>
    </row>
    <row r="925" spans="1:5" ht="12.75" customHeight="1" x14ac:dyDescent="0.3">
      <c r="A925" s="2" t="s">
        <v>1881</v>
      </c>
      <c r="B925" s="2" t="s">
        <v>13</v>
      </c>
      <c r="C925" s="3" t="str">
        <f>HYPERLINK("https://springer.com/11214")</f>
        <v>https://springer.com/11214</v>
      </c>
      <c r="D925" s="2" t="s">
        <v>1882</v>
      </c>
      <c r="E925" s="2" t="s">
        <v>8</v>
      </c>
    </row>
    <row r="926" spans="1:5" ht="12.75" customHeight="1" x14ac:dyDescent="0.3">
      <c r="A926" s="2" t="s">
        <v>1883</v>
      </c>
      <c r="B926" s="2" t="s">
        <v>753</v>
      </c>
      <c r="C926" s="3" t="str">
        <f>HYPERLINK("https://springer.com/11217")</f>
        <v>https://springer.com/11217</v>
      </c>
      <c r="D926" s="2" t="s">
        <v>1884</v>
      </c>
      <c r="E926" s="2" t="s">
        <v>8</v>
      </c>
    </row>
    <row r="927" spans="1:5" ht="12.75" customHeight="1" x14ac:dyDescent="0.3">
      <c r="A927" s="2" t="s">
        <v>1885</v>
      </c>
      <c r="B927" s="2" t="s">
        <v>753</v>
      </c>
      <c r="C927" s="3" t="str">
        <f>HYPERLINK("https://springer.com/11218")</f>
        <v>https://springer.com/11218</v>
      </c>
      <c r="D927" s="2" t="s">
        <v>1886</v>
      </c>
      <c r="E927" s="2" t="s">
        <v>8</v>
      </c>
    </row>
    <row r="928" spans="1:5" ht="12.75" customHeight="1" x14ac:dyDescent="0.3">
      <c r="A928" s="2" t="s">
        <v>1887</v>
      </c>
      <c r="B928" s="2" t="s">
        <v>63</v>
      </c>
      <c r="C928" s="3" t="str">
        <f>HYPERLINK("https://springer.com/11219")</f>
        <v>https://springer.com/11219</v>
      </c>
      <c r="D928" s="2" t="s">
        <v>1888</v>
      </c>
      <c r="E928" s="2" t="s">
        <v>8</v>
      </c>
    </row>
    <row r="929" spans="1:5" ht="12.75" customHeight="1" x14ac:dyDescent="0.3">
      <c r="A929" s="2" t="s">
        <v>1889</v>
      </c>
      <c r="B929" s="2" t="s">
        <v>56</v>
      </c>
      <c r="C929" s="3" t="str">
        <f>HYPERLINK("https://springer.com/11220")</f>
        <v>https://springer.com/11220</v>
      </c>
      <c r="D929" s="2" t="s">
        <v>1890</v>
      </c>
      <c r="E929" s="2" t="s">
        <v>8</v>
      </c>
    </row>
    <row r="930" spans="1:5" ht="12.75" customHeight="1" x14ac:dyDescent="0.3">
      <c r="A930" s="2" t="s">
        <v>1891</v>
      </c>
      <c r="B930" s="2" t="s">
        <v>63</v>
      </c>
      <c r="C930" s="3" t="str">
        <f>HYPERLINK("https://springer.com/11222")</f>
        <v>https://springer.com/11222</v>
      </c>
      <c r="D930" s="2" t="s">
        <v>1892</v>
      </c>
      <c r="E930" s="2" t="s">
        <v>8</v>
      </c>
    </row>
    <row r="931" spans="1:5" ht="12.75" customHeight="1" x14ac:dyDescent="0.3">
      <c r="A931" s="2" t="s">
        <v>1893</v>
      </c>
      <c r="B931" s="2" t="s">
        <v>396</v>
      </c>
      <c r="C931" s="3" t="str">
        <f>HYPERLINK("https://springer.com/11223")</f>
        <v>https://springer.com/11223</v>
      </c>
      <c r="D931" s="2" t="s">
        <v>1894</v>
      </c>
      <c r="E931" s="2" t="s">
        <v>8</v>
      </c>
    </row>
    <row r="932" spans="1:5" ht="12.75" customHeight="1" x14ac:dyDescent="0.3">
      <c r="A932" s="2" t="s">
        <v>1895</v>
      </c>
      <c r="B932" s="2" t="s">
        <v>218</v>
      </c>
      <c r="C932" s="3" t="str">
        <f>HYPERLINK("https://springer.com/11224")</f>
        <v>https://springer.com/11224</v>
      </c>
      <c r="D932" s="2" t="s">
        <v>1896</v>
      </c>
      <c r="E932" s="2" t="s">
        <v>8</v>
      </c>
    </row>
    <row r="933" spans="1:5" ht="12.75" customHeight="1" x14ac:dyDescent="0.3">
      <c r="A933" s="2" t="s">
        <v>1897</v>
      </c>
      <c r="B933" s="2" t="s">
        <v>868</v>
      </c>
      <c r="C933" s="3" t="str">
        <f>HYPERLINK("https://springer.com/11225")</f>
        <v>https://springer.com/11225</v>
      </c>
      <c r="D933" s="2" t="s">
        <v>1898</v>
      </c>
      <c r="E933" s="2" t="s">
        <v>8</v>
      </c>
    </row>
    <row r="934" spans="1:5" ht="12.75" customHeight="1" x14ac:dyDescent="0.3">
      <c r="A934" s="2" t="s">
        <v>1899</v>
      </c>
      <c r="B934" s="2" t="s">
        <v>63</v>
      </c>
      <c r="C934" s="3" t="str">
        <f>HYPERLINK("https://springer.com/11227")</f>
        <v>https://springer.com/11227</v>
      </c>
      <c r="D934" s="2" t="s">
        <v>1900</v>
      </c>
      <c r="E934" s="2" t="s">
        <v>8</v>
      </c>
    </row>
    <row r="935" spans="1:5" ht="12.75" customHeight="1" x14ac:dyDescent="0.3">
      <c r="A935" s="2" t="s">
        <v>1901</v>
      </c>
      <c r="B935" s="2" t="s">
        <v>10</v>
      </c>
      <c r="C935" s="3" t="str">
        <f>HYPERLINK("https://springer.com/11228")</f>
        <v>https://springer.com/11228</v>
      </c>
      <c r="D935" s="2" t="s">
        <v>1902</v>
      </c>
      <c r="E935" s="2" t="s">
        <v>8</v>
      </c>
    </row>
    <row r="936" spans="1:5" ht="12.75" customHeight="1" x14ac:dyDescent="0.3">
      <c r="A936" s="2" t="s">
        <v>1903</v>
      </c>
      <c r="B936" s="2" t="s">
        <v>868</v>
      </c>
      <c r="C936" s="3" t="str">
        <f>HYPERLINK("https://springer.com/11229")</f>
        <v>https://springer.com/11229</v>
      </c>
      <c r="D936" s="2" t="s">
        <v>1904</v>
      </c>
      <c r="E936" s="2" t="s">
        <v>8</v>
      </c>
    </row>
    <row r="937" spans="1:5" ht="12.75" customHeight="1" x14ac:dyDescent="0.3">
      <c r="A937" s="2" t="s">
        <v>1905</v>
      </c>
      <c r="B937" s="2" t="s">
        <v>6</v>
      </c>
      <c r="C937" s="3" t="str">
        <f>HYPERLINK("https://springer.com/11230")</f>
        <v>https://springer.com/11230</v>
      </c>
      <c r="D937" s="2" t="s">
        <v>1906</v>
      </c>
      <c r="E937" s="2" t="s">
        <v>8</v>
      </c>
    </row>
    <row r="938" spans="1:5" ht="12.75" customHeight="1" x14ac:dyDescent="0.3">
      <c r="A938" s="2" t="s">
        <v>1907</v>
      </c>
      <c r="B938" s="2" t="s">
        <v>13</v>
      </c>
      <c r="C938" s="3" t="str">
        <f>HYPERLINK("https://springer.com/11232")</f>
        <v>https://springer.com/11232</v>
      </c>
      <c r="D938" s="2" t="s">
        <v>1908</v>
      </c>
      <c r="E938" s="2"/>
    </row>
    <row r="939" spans="1:5" ht="12.75" customHeight="1" x14ac:dyDescent="0.3">
      <c r="A939" s="2" t="s">
        <v>1909</v>
      </c>
      <c r="B939" s="2" t="s">
        <v>753</v>
      </c>
      <c r="C939" s="3" t="str">
        <f>HYPERLINK("https://springer.com/11233")</f>
        <v>https://springer.com/11233</v>
      </c>
      <c r="D939" s="2" t="s">
        <v>1910</v>
      </c>
      <c r="E939" s="2" t="s">
        <v>8</v>
      </c>
    </row>
    <row r="940" spans="1:5" ht="12.75" customHeight="1" x14ac:dyDescent="0.3">
      <c r="A940" s="2" t="s">
        <v>1911</v>
      </c>
      <c r="B940" s="2" t="s">
        <v>181</v>
      </c>
      <c r="C940" s="3" t="str">
        <f>HYPERLINK("https://springer.com/11235")</f>
        <v>https://springer.com/11235</v>
      </c>
      <c r="D940" s="2" t="s">
        <v>1912</v>
      </c>
      <c r="E940" s="2" t="s">
        <v>8</v>
      </c>
    </row>
    <row r="941" spans="1:5" ht="12.75" customHeight="1" x14ac:dyDescent="0.3">
      <c r="A941" s="2" t="s">
        <v>1913</v>
      </c>
      <c r="B941" s="2" t="s">
        <v>218</v>
      </c>
      <c r="C941" s="3" t="str">
        <f>HYPERLINK("https://springer.com/11236")</f>
        <v>https://springer.com/11236</v>
      </c>
      <c r="D941" s="2" t="s">
        <v>1914</v>
      </c>
      <c r="E941" s="2"/>
    </row>
    <row r="942" spans="1:5" ht="12.75" customHeight="1" x14ac:dyDescent="0.3">
      <c r="A942" s="2" t="s">
        <v>1915</v>
      </c>
      <c r="B942" s="2" t="s">
        <v>151</v>
      </c>
      <c r="C942" s="3" t="str">
        <f>HYPERLINK("https://springer.com/11238")</f>
        <v>https://springer.com/11238</v>
      </c>
      <c r="D942" s="2" t="s">
        <v>1916</v>
      </c>
      <c r="E942" s="2" t="s">
        <v>8</v>
      </c>
    </row>
    <row r="943" spans="1:5" ht="12.75" customHeight="1" x14ac:dyDescent="0.3">
      <c r="A943" s="2" t="s">
        <v>1917</v>
      </c>
      <c r="B943" s="2" t="s">
        <v>78</v>
      </c>
      <c r="C943" s="3" t="str">
        <f>HYPERLINK("https://springer.com/11239")</f>
        <v>https://springer.com/11239</v>
      </c>
      <c r="D943" s="2" t="s">
        <v>1918</v>
      </c>
      <c r="E943" s="2" t="s">
        <v>8</v>
      </c>
    </row>
    <row r="944" spans="1:5" ht="12.75" customHeight="1" x14ac:dyDescent="0.3">
      <c r="A944" s="2" t="s">
        <v>1919</v>
      </c>
      <c r="B944" s="2" t="s">
        <v>6</v>
      </c>
      <c r="C944" s="3" t="str">
        <f>HYPERLINK("https://springer.com/11240")</f>
        <v>https://springer.com/11240</v>
      </c>
      <c r="D944" s="2" t="s">
        <v>1920</v>
      </c>
      <c r="E944" s="2" t="s">
        <v>8</v>
      </c>
    </row>
    <row r="945" spans="1:5" ht="12.75" customHeight="1" x14ac:dyDescent="0.3">
      <c r="A945" s="2" t="s">
        <v>1921</v>
      </c>
      <c r="B945" s="2" t="s">
        <v>63</v>
      </c>
      <c r="C945" s="3" t="str">
        <f>HYPERLINK("https://springer.com/11241")</f>
        <v>https://springer.com/11241</v>
      </c>
      <c r="D945" s="2" t="s">
        <v>1922</v>
      </c>
      <c r="E945" s="2" t="s">
        <v>8</v>
      </c>
    </row>
    <row r="946" spans="1:5" ht="12.75" customHeight="1" x14ac:dyDescent="0.3">
      <c r="A946" s="2" t="s">
        <v>1923</v>
      </c>
      <c r="B946" s="2" t="s">
        <v>26</v>
      </c>
      <c r="C946" s="3" t="str">
        <f>HYPERLINK("https://springer.com/11242")</f>
        <v>https://springer.com/11242</v>
      </c>
      <c r="D946" s="2" t="s">
        <v>1924</v>
      </c>
      <c r="E946" s="2" t="s">
        <v>8</v>
      </c>
    </row>
    <row r="947" spans="1:5" ht="12.75" customHeight="1" x14ac:dyDescent="0.3">
      <c r="A947" s="2" t="s">
        <v>1925</v>
      </c>
      <c r="B947" s="2" t="s">
        <v>218</v>
      </c>
      <c r="C947" s="3" t="str">
        <f>HYPERLINK("https://springer.com/11243")</f>
        <v>https://springer.com/11243</v>
      </c>
      <c r="D947" s="2" t="s">
        <v>1926</v>
      </c>
      <c r="E947" s="2" t="s">
        <v>8</v>
      </c>
    </row>
    <row r="948" spans="1:5" ht="12.75" customHeight="1" x14ac:dyDescent="0.3">
      <c r="A948" s="2" t="s">
        <v>1927</v>
      </c>
      <c r="B948" s="2" t="s">
        <v>218</v>
      </c>
      <c r="C948" s="3" t="str">
        <f>HYPERLINK("https://springer.com/11244")</f>
        <v>https://springer.com/11244</v>
      </c>
      <c r="D948" s="2" t="s">
        <v>1928</v>
      </c>
      <c r="E948" s="2" t="s">
        <v>8</v>
      </c>
    </row>
    <row r="949" spans="1:5" ht="12.75" customHeight="1" x14ac:dyDescent="0.3">
      <c r="A949" s="2" t="s">
        <v>1929</v>
      </c>
      <c r="B949" s="2" t="s">
        <v>868</v>
      </c>
      <c r="C949" s="3" t="str">
        <f>HYPERLINK("https://springer.com/11245")</f>
        <v>https://springer.com/11245</v>
      </c>
      <c r="D949" s="2" t="s">
        <v>1930</v>
      </c>
      <c r="E949" s="2" t="s">
        <v>8</v>
      </c>
    </row>
    <row r="950" spans="1:5" ht="12.75" customHeight="1" x14ac:dyDescent="0.3">
      <c r="A950" s="2" t="s">
        <v>1931</v>
      </c>
      <c r="B950" s="2" t="s">
        <v>6</v>
      </c>
      <c r="C950" s="3" t="str">
        <f>HYPERLINK("https://springer.com/11248")</f>
        <v>https://springer.com/11248</v>
      </c>
      <c r="D950" s="2" t="s">
        <v>1932</v>
      </c>
      <c r="E950" s="2" t="s">
        <v>8</v>
      </c>
    </row>
    <row r="951" spans="1:5" ht="12.75" customHeight="1" x14ac:dyDescent="0.3">
      <c r="A951" s="2" t="s">
        <v>1933</v>
      </c>
      <c r="B951" s="2" t="s">
        <v>396</v>
      </c>
      <c r="C951" s="3" t="str">
        <f>HYPERLINK("https://springer.com/11249")</f>
        <v>https://springer.com/11249</v>
      </c>
      <c r="D951" s="2" t="s">
        <v>1934</v>
      </c>
      <c r="E951" s="2" t="s">
        <v>8</v>
      </c>
    </row>
    <row r="952" spans="1:5" ht="12.75" customHeight="1" x14ac:dyDescent="0.3">
      <c r="A952" s="2" t="s">
        <v>1935</v>
      </c>
      <c r="B952" s="2" t="s">
        <v>6</v>
      </c>
      <c r="C952" s="3" t="str">
        <f>HYPERLINK("https://springer.com/11250")</f>
        <v>https://springer.com/11250</v>
      </c>
      <c r="D952" s="2" t="s">
        <v>1936</v>
      </c>
      <c r="E952" s="2" t="s">
        <v>8</v>
      </c>
    </row>
    <row r="953" spans="1:5" ht="12.75" customHeight="1" x14ac:dyDescent="0.3">
      <c r="A953" s="2" t="s">
        <v>1937</v>
      </c>
      <c r="B953" s="2" t="s">
        <v>753</v>
      </c>
      <c r="C953" s="3" t="str">
        <f>HYPERLINK("https://springer.com/11251")</f>
        <v>https://springer.com/11251</v>
      </c>
      <c r="D953" s="2" t="s">
        <v>1938</v>
      </c>
      <c r="E953" s="2" t="s">
        <v>8</v>
      </c>
    </row>
    <row r="954" spans="1:5" ht="12.75" customHeight="1" x14ac:dyDescent="0.3">
      <c r="A954" s="2" t="s">
        <v>1939</v>
      </c>
      <c r="B954" s="2" t="s">
        <v>6</v>
      </c>
      <c r="C954" s="3" t="str">
        <f>HYPERLINK("https://springer.com/11252")</f>
        <v>https://springer.com/11252</v>
      </c>
      <c r="D954" s="2" t="s">
        <v>1940</v>
      </c>
      <c r="E954" s="2" t="s">
        <v>8</v>
      </c>
    </row>
    <row r="955" spans="1:5" ht="12.75" customHeight="1" x14ac:dyDescent="0.3">
      <c r="A955" s="2" t="s">
        <v>1941</v>
      </c>
      <c r="B955" s="2" t="s">
        <v>10</v>
      </c>
      <c r="C955" s="3" t="str">
        <f>HYPERLINK("https://springer.com/11253")</f>
        <v>https://springer.com/11253</v>
      </c>
      <c r="D955" s="2" t="s">
        <v>1942</v>
      </c>
      <c r="E955" s="2" t="s">
        <v>8</v>
      </c>
    </row>
    <row r="956" spans="1:5" ht="12.75" customHeight="1" x14ac:dyDescent="0.3">
      <c r="A956" s="2" t="s">
        <v>1943</v>
      </c>
      <c r="B956" s="2" t="s">
        <v>78</v>
      </c>
      <c r="C956" s="3" t="str">
        <f>HYPERLINK("https://springer.com/11255")</f>
        <v>https://springer.com/11255</v>
      </c>
      <c r="D956" s="2" t="s">
        <v>1944</v>
      </c>
      <c r="E956" s="2" t="s">
        <v>8</v>
      </c>
    </row>
    <row r="957" spans="1:5" ht="12.75" customHeight="1" x14ac:dyDescent="0.3">
      <c r="A957" s="2" t="s">
        <v>1945</v>
      </c>
      <c r="B957" s="2" t="s">
        <v>753</v>
      </c>
      <c r="C957" s="3" t="str">
        <f>HYPERLINK("https://springer.com/11256")</f>
        <v>https://springer.com/11256</v>
      </c>
      <c r="D957" s="2" t="s">
        <v>1946</v>
      </c>
      <c r="E957" s="2" t="s">
        <v>8</v>
      </c>
    </row>
    <row r="958" spans="1:5" ht="12.75" customHeight="1" x14ac:dyDescent="0.3">
      <c r="A958" s="2" t="s">
        <v>1947</v>
      </c>
      <c r="B958" s="2" t="s">
        <v>63</v>
      </c>
      <c r="C958" s="3" t="str">
        <f>HYPERLINK("https://springer.com/11257")</f>
        <v>https://springer.com/11257</v>
      </c>
      <c r="D958" s="2" t="s">
        <v>1948</v>
      </c>
      <c r="E958" s="2" t="s">
        <v>8</v>
      </c>
    </row>
    <row r="959" spans="1:5" ht="12.75" customHeight="1" x14ac:dyDescent="0.3">
      <c r="A959" s="2" t="s">
        <v>1949</v>
      </c>
      <c r="B959" s="2" t="s">
        <v>6</v>
      </c>
      <c r="C959" s="3" t="str">
        <f>HYPERLINK("https://springer.com/11258")</f>
        <v>https://springer.com/11258</v>
      </c>
      <c r="D959" s="2" t="s">
        <v>1950</v>
      </c>
      <c r="E959" s="2" t="s">
        <v>8</v>
      </c>
    </row>
    <row r="960" spans="1:5" ht="12.75" customHeight="1" x14ac:dyDescent="0.3">
      <c r="A960" s="2" t="s">
        <v>1951</v>
      </c>
      <c r="B960" s="2" t="s">
        <v>6</v>
      </c>
      <c r="C960" s="3" t="str">
        <f>HYPERLINK("https://springer.com/11259")</f>
        <v>https://springer.com/11259</v>
      </c>
      <c r="D960" s="2" t="s">
        <v>1952</v>
      </c>
      <c r="E960" s="2" t="s">
        <v>8</v>
      </c>
    </row>
    <row r="961" spans="1:5" ht="12.75" customHeight="1" x14ac:dyDescent="0.3">
      <c r="A961" s="2" t="s">
        <v>1953</v>
      </c>
      <c r="B961" s="2" t="s">
        <v>20</v>
      </c>
      <c r="C961" s="3" t="str">
        <f>HYPERLINK("https://springer.com/11262")</f>
        <v>https://springer.com/11262</v>
      </c>
      <c r="D961" s="2" t="s">
        <v>1954</v>
      </c>
      <c r="E961" s="2" t="s">
        <v>8</v>
      </c>
    </row>
    <row r="962" spans="1:5" ht="12.75" customHeight="1" x14ac:dyDescent="0.3">
      <c r="A962" s="2" t="s">
        <v>1955</v>
      </c>
      <c r="B962" s="2" t="s">
        <v>63</v>
      </c>
      <c r="C962" s="3" t="str">
        <f>HYPERLINK("https://springer.com/11263")</f>
        <v>https://springer.com/11263</v>
      </c>
      <c r="D962" s="2" t="s">
        <v>1956</v>
      </c>
      <c r="E962" s="2" t="s">
        <v>8</v>
      </c>
    </row>
    <row r="963" spans="1:5" ht="12.75" customHeight="1" x14ac:dyDescent="0.3">
      <c r="A963" s="2" t="s">
        <v>1957</v>
      </c>
      <c r="B963" s="2" t="s">
        <v>56</v>
      </c>
      <c r="C963" s="3" t="str">
        <f>HYPERLINK("https://springer.com/11265")</f>
        <v>https://springer.com/11265</v>
      </c>
      <c r="D963" s="2" t="s">
        <v>1958</v>
      </c>
      <c r="E963" s="2" t="s">
        <v>8</v>
      </c>
    </row>
    <row r="964" spans="1:5" ht="12.75" customHeight="1" x14ac:dyDescent="0.3">
      <c r="A964" s="2" t="s">
        <v>1959</v>
      </c>
      <c r="B964" s="2" t="s">
        <v>794</v>
      </c>
      <c r="C964" s="3" t="str">
        <f>HYPERLINK("https://springer.com/11266")</f>
        <v>https://springer.com/11266</v>
      </c>
      <c r="D964" s="2" t="s">
        <v>1960</v>
      </c>
      <c r="E964" s="2" t="s">
        <v>8</v>
      </c>
    </row>
    <row r="965" spans="1:5" ht="12.75" customHeight="1" x14ac:dyDescent="0.3">
      <c r="A965" s="2" t="s">
        <v>1961</v>
      </c>
      <c r="B965" s="2" t="s">
        <v>26</v>
      </c>
      <c r="C965" s="3" t="str">
        <f>HYPERLINK("https://springer.com/11268")</f>
        <v>https://springer.com/11268</v>
      </c>
      <c r="D965" s="2" t="s">
        <v>1962</v>
      </c>
      <c r="E965" s="2"/>
    </row>
    <row r="966" spans="1:5" ht="12.75" customHeight="1" x14ac:dyDescent="0.3">
      <c r="A966" s="2" t="s">
        <v>1963</v>
      </c>
      <c r="B966" s="2" t="s">
        <v>26</v>
      </c>
      <c r="C966" s="3" t="str">
        <f>HYPERLINK("https://springer.com/11269")</f>
        <v>https://springer.com/11269</v>
      </c>
      <c r="D966" s="2" t="s">
        <v>1964</v>
      </c>
      <c r="E966" s="2" t="s">
        <v>8</v>
      </c>
    </row>
    <row r="967" spans="1:5" ht="12.75" customHeight="1" x14ac:dyDescent="0.3">
      <c r="A967" s="2" t="s">
        <v>1965</v>
      </c>
      <c r="B967" s="2" t="s">
        <v>133</v>
      </c>
      <c r="C967" s="3" t="str">
        <f>HYPERLINK("https://springer.com/11270")</f>
        <v>https://springer.com/11270</v>
      </c>
      <c r="D967" s="2" t="s">
        <v>1966</v>
      </c>
      <c r="E967" s="2" t="s">
        <v>8</v>
      </c>
    </row>
    <row r="968" spans="1:5" ht="12.75" customHeight="1" x14ac:dyDescent="0.3">
      <c r="A968" s="2" t="s">
        <v>1967</v>
      </c>
      <c r="B968" s="2" t="s">
        <v>6</v>
      </c>
      <c r="C968" s="3" t="str">
        <f>HYPERLINK("https://springer.com/11273")</f>
        <v>https://springer.com/11273</v>
      </c>
      <c r="D968" s="2" t="s">
        <v>1968</v>
      </c>
      <c r="E968" s="2" t="s">
        <v>8</v>
      </c>
    </row>
    <row r="969" spans="1:5" ht="12.75" customHeight="1" x14ac:dyDescent="0.3">
      <c r="A969" s="2" t="s">
        <v>1969</v>
      </c>
      <c r="B969" s="2" t="s">
        <v>6</v>
      </c>
      <c r="C969" s="3" t="str">
        <f>HYPERLINK("https://springer.com/11274")</f>
        <v>https://springer.com/11274</v>
      </c>
      <c r="D969" s="2" t="s">
        <v>1970</v>
      </c>
      <c r="E969" s="2" t="s">
        <v>8</v>
      </c>
    </row>
    <row r="970" spans="1:5" ht="12.75" customHeight="1" x14ac:dyDescent="0.3">
      <c r="A970" s="2" t="s">
        <v>1971</v>
      </c>
      <c r="B970" s="2" t="s">
        <v>56</v>
      </c>
      <c r="C970" s="3" t="str">
        <f>HYPERLINK("https://springer.com/11276")</f>
        <v>https://springer.com/11276</v>
      </c>
      <c r="D970" s="2" t="s">
        <v>1972</v>
      </c>
      <c r="E970" s="2" t="s">
        <v>8</v>
      </c>
    </row>
    <row r="971" spans="1:5" ht="12.75" customHeight="1" x14ac:dyDescent="0.3">
      <c r="A971" s="2" t="s">
        <v>1973</v>
      </c>
      <c r="B971" s="2" t="s">
        <v>56</v>
      </c>
      <c r="C971" s="3" t="str">
        <f>HYPERLINK("https://springer.com/11277")</f>
        <v>https://springer.com/11277</v>
      </c>
      <c r="D971" s="2" t="s">
        <v>1974</v>
      </c>
      <c r="E971" s="2" t="s">
        <v>8</v>
      </c>
    </row>
    <row r="972" spans="1:5" ht="12.75" customHeight="1" x14ac:dyDescent="0.3">
      <c r="A972" s="2" t="s">
        <v>1975</v>
      </c>
      <c r="B972" s="2" t="s">
        <v>63</v>
      </c>
      <c r="C972" s="3" t="str">
        <f>HYPERLINK("https://springer.com/11280")</f>
        <v>https://springer.com/11280</v>
      </c>
      <c r="D972" s="2" t="s">
        <v>1976</v>
      </c>
      <c r="E972" s="2" t="s">
        <v>8</v>
      </c>
    </row>
    <row r="973" spans="1:5" ht="12.75" customHeight="1" x14ac:dyDescent="0.3">
      <c r="A973" s="2" t="s">
        <v>1977</v>
      </c>
      <c r="B973" s="2" t="s">
        <v>82</v>
      </c>
      <c r="C973" s="3" t="str">
        <f>HYPERLINK("https://springer.com/11282")</f>
        <v>https://springer.com/11282</v>
      </c>
      <c r="D973" s="2" t="s">
        <v>1978</v>
      </c>
      <c r="E973" s="2" t="s">
        <v>8</v>
      </c>
    </row>
    <row r="974" spans="1:5" ht="12.75" customHeight="1" x14ac:dyDescent="0.3">
      <c r="A974" s="2" t="s">
        <v>1979</v>
      </c>
      <c r="B974" s="2" t="s">
        <v>1076</v>
      </c>
      <c r="C974" s="3" t="str">
        <f>HYPERLINK("https://springer.com/11292")</f>
        <v>https://springer.com/11292</v>
      </c>
      <c r="D974" s="2" t="s">
        <v>1980</v>
      </c>
      <c r="E974" s="2" t="s">
        <v>8</v>
      </c>
    </row>
    <row r="975" spans="1:5" ht="12.75" customHeight="1" x14ac:dyDescent="0.3">
      <c r="A975" s="2" t="s">
        <v>1981</v>
      </c>
      <c r="B975" s="2" t="s">
        <v>151</v>
      </c>
      <c r="C975" s="3" t="str">
        <f>HYPERLINK("https://springer.com/11293")</f>
        <v>https://springer.com/11293</v>
      </c>
      <c r="D975" s="2" t="s">
        <v>1982</v>
      </c>
      <c r="E975" s="2" t="s">
        <v>8</v>
      </c>
    </row>
    <row r="976" spans="1:5" ht="12.75" customHeight="1" x14ac:dyDescent="0.3">
      <c r="A976" s="2" t="s">
        <v>1983</v>
      </c>
      <c r="B976" s="2" t="s">
        <v>151</v>
      </c>
      <c r="C976" s="3" t="str">
        <f>HYPERLINK("https://springer.com/11294")</f>
        <v>https://springer.com/11294</v>
      </c>
      <c r="D976" s="2" t="s">
        <v>1984</v>
      </c>
      <c r="E976" s="2" t="s">
        <v>8</v>
      </c>
    </row>
    <row r="977" spans="1:5" ht="12.75" customHeight="1" x14ac:dyDescent="0.3">
      <c r="A977" s="2" t="s">
        <v>1985</v>
      </c>
      <c r="B977" s="2" t="s">
        <v>6</v>
      </c>
      <c r="C977" s="3" t="str">
        <f>HYPERLINK("https://springer.com/11295")</f>
        <v>https://springer.com/11295</v>
      </c>
      <c r="D977" s="2" t="s">
        <v>1986</v>
      </c>
      <c r="E977" s="2" t="s">
        <v>8</v>
      </c>
    </row>
    <row r="978" spans="1:5" ht="12.75" customHeight="1" x14ac:dyDescent="0.3">
      <c r="A978" s="2" t="s">
        <v>1987</v>
      </c>
      <c r="B978" s="2" t="s">
        <v>6</v>
      </c>
      <c r="C978" s="3" t="str">
        <f>HYPERLINK("https://springer.com/11299")</f>
        <v>https://springer.com/11299</v>
      </c>
      <c r="D978" s="2" t="s">
        <v>1988</v>
      </c>
      <c r="E978" s="2" t="s">
        <v>8</v>
      </c>
    </row>
    <row r="979" spans="1:5" ht="12.75" customHeight="1" x14ac:dyDescent="0.3">
      <c r="A979" s="2" t="s">
        <v>1989</v>
      </c>
      <c r="B979" s="2" t="s">
        <v>181</v>
      </c>
      <c r="C979" s="3" t="str">
        <f>HYPERLINK("https://springer.com/11301")</f>
        <v>https://springer.com/11301</v>
      </c>
      <c r="D979" s="2" t="s">
        <v>1990</v>
      </c>
      <c r="E979" s="2" t="s">
        <v>8</v>
      </c>
    </row>
    <row r="980" spans="1:5" ht="12.75" customHeight="1" x14ac:dyDescent="0.3">
      <c r="A980" s="2" t="s">
        <v>1991</v>
      </c>
      <c r="B980" s="2" t="s">
        <v>20</v>
      </c>
      <c r="C980" s="3" t="str">
        <f>HYPERLINK("https://springer.com/11302")</f>
        <v>https://springer.com/11302</v>
      </c>
      <c r="D980" s="2" t="s">
        <v>1992</v>
      </c>
      <c r="E980" s="2" t="s">
        <v>8</v>
      </c>
    </row>
    <row r="981" spans="1:5" ht="12.75" customHeight="1" x14ac:dyDescent="0.3">
      <c r="A981" s="2" t="s">
        <v>1993</v>
      </c>
      <c r="B981" s="2" t="s">
        <v>6</v>
      </c>
      <c r="C981" s="3" t="str">
        <f>HYPERLINK("https://springer.com/11306")</f>
        <v>https://springer.com/11306</v>
      </c>
      <c r="D981" s="2" t="s">
        <v>1994</v>
      </c>
      <c r="E981" s="2" t="s">
        <v>8</v>
      </c>
    </row>
    <row r="982" spans="1:5" ht="12.75" customHeight="1" x14ac:dyDescent="0.3">
      <c r="A982" s="2" t="s">
        <v>1995</v>
      </c>
      <c r="B982" s="2" t="s">
        <v>78</v>
      </c>
      <c r="C982" s="3" t="str">
        <f>HYPERLINK("https://springer.com/11307")</f>
        <v>https://springer.com/11307</v>
      </c>
      <c r="D982" s="2" t="s">
        <v>1996</v>
      </c>
      <c r="E982" s="2" t="s">
        <v>8</v>
      </c>
    </row>
    <row r="983" spans="1:5" ht="12.75" customHeight="1" x14ac:dyDescent="0.3">
      <c r="A983" s="2" t="s">
        <v>1997</v>
      </c>
      <c r="B983" s="2" t="s">
        <v>78</v>
      </c>
      <c r="C983" s="3" t="str">
        <f>HYPERLINK("https://springer.com/11325")</f>
        <v>https://springer.com/11325</v>
      </c>
      <c r="D983" s="2" t="s">
        <v>1998</v>
      </c>
      <c r="E983" s="2" t="s">
        <v>8</v>
      </c>
    </row>
    <row r="984" spans="1:5" ht="12.75" customHeight="1" x14ac:dyDescent="0.3">
      <c r="A984" s="2" t="s">
        <v>1999</v>
      </c>
      <c r="B984" s="2" t="s">
        <v>78</v>
      </c>
      <c r="C984" s="3" t="str">
        <f>HYPERLINK("https://springer.com/11332")</f>
        <v>https://springer.com/11332</v>
      </c>
      <c r="D984" s="2" t="s">
        <v>2000</v>
      </c>
      <c r="E984" s="2" t="s">
        <v>8</v>
      </c>
    </row>
    <row r="985" spans="1:5" ht="12.75" customHeight="1" x14ac:dyDescent="0.3">
      <c r="A985" s="2" t="s">
        <v>2001</v>
      </c>
      <c r="B985" s="2" t="s">
        <v>63</v>
      </c>
      <c r="C985" s="3" t="str">
        <f>HYPERLINK("https://springer.com/11334")</f>
        <v>https://springer.com/11334</v>
      </c>
      <c r="D985" s="2" t="s">
        <v>2002</v>
      </c>
      <c r="E985" s="2" t="s">
        <v>8</v>
      </c>
    </row>
    <row r="986" spans="1:5" ht="12.75" customHeight="1" x14ac:dyDescent="0.3">
      <c r="A986" s="2" t="s">
        <v>2003</v>
      </c>
      <c r="B986" s="2" t="s">
        <v>56</v>
      </c>
      <c r="C986" s="3" t="str">
        <f>HYPERLINK("https://springer.com/11340")</f>
        <v>https://springer.com/11340</v>
      </c>
      <c r="D986" s="2" t="s">
        <v>2004</v>
      </c>
      <c r="E986" s="2" t="s">
        <v>8</v>
      </c>
    </row>
    <row r="987" spans="1:5" ht="12.75" customHeight="1" x14ac:dyDescent="0.3">
      <c r="A987" s="2" t="s">
        <v>2005</v>
      </c>
      <c r="B987" s="2" t="s">
        <v>6</v>
      </c>
      <c r="C987" s="3" t="str">
        <f>HYPERLINK("https://springer.com/11355")</f>
        <v>https://springer.com/11355</v>
      </c>
      <c r="D987" s="2" t="s">
        <v>2006</v>
      </c>
      <c r="E987" s="2" t="s">
        <v>8</v>
      </c>
    </row>
    <row r="988" spans="1:5" ht="12.75" customHeight="1" x14ac:dyDescent="0.3">
      <c r="A988" s="2" t="s">
        <v>2007</v>
      </c>
      <c r="B988" s="2" t="s">
        <v>133</v>
      </c>
      <c r="C988" s="3" t="str">
        <f>HYPERLINK("https://springer.com/11356")</f>
        <v>https://springer.com/11356</v>
      </c>
      <c r="D988" s="2" t="s">
        <v>2008</v>
      </c>
      <c r="E988" s="2" t="s">
        <v>8</v>
      </c>
    </row>
    <row r="989" spans="1:5" ht="12.75" customHeight="1" x14ac:dyDescent="0.3">
      <c r="A989" s="2" t="s">
        <v>2009</v>
      </c>
      <c r="B989" s="2" t="s">
        <v>6</v>
      </c>
      <c r="C989" s="3" t="str">
        <f>HYPERLINK("https://springer.com/11357")</f>
        <v>https://springer.com/11357</v>
      </c>
      <c r="D989" s="2" t="s">
        <v>2010</v>
      </c>
      <c r="E989" s="2" t="s">
        <v>8</v>
      </c>
    </row>
    <row r="990" spans="1:5" ht="12.75" customHeight="1" x14ac:dyDescent="0.3">
      <c r="A990" s="2" t="s">
        <v>2011</v>
      </c>
      <c r="B990" s="2" t="s">
        <v>181</v>
      </c>
      <c r="C990" s="3" t="str">
        <f>HYPERLINK("https://springer.com/11365")</f>
        <v>https://springer.com/11365</v>
      </c>
      <c r="D990" s="2" t="s">
        <v>2012</v>
      </c>
      <c r="E990" s="2" t="s">
        <v>8</v>
      </c>
    </row>
    <row r="991" spans="1:5" ht="12.75" customHeight="1" x14ac:dyDescent="0.3">
      <c r="A991" s="2" t="s">
        <v>2013</v>
      </c>
      <c r="B991" s="2" t="s">
        <v>1063</v>
      </c>
      <c r="C991" s="3" t="str">
        <f>HYPERLINK("https://springer.com/11366")</f>
        <v>https://springer.com/11366</v>
      </c>
      <c r="D991" s="2" t="s">
        <v>2014</v>
      </c>
      <c r="E991" s="2" t="s">
        <v>8</v>
      </c>
    </row>
    <row r="992" spans="1:5" ht="12.75" customHeight="1" x14ac:dyDescent="0.3">
      <c r="A992" s="2" t="s">
        <v>2015</v>
      </c>
      <c r="B992" s="2" t="s">
        <v>133</v>
      </c>
      <c r="C992" s="3" t="str">
        <f>HYPERLINK("https://springer.com/11367")</f>
        <v>https://springer.com/11367</v>
      </c>
      <c r="D992" s="2" t="s">
        <v>2016</v>
      </c>
      <c r="E992" s="2" t="s">
        <v>8</v>
      </c>
    </row>
    <row r="993" spans="1:5" ht="12.75" customHeight="1" x14ac:dyDescent="0.3">
      <c r="A993" s="2" t="s">
        <v>2017</v>
      </c>
      <c r="B993" s="2" t="s">
        <v>133</v>
      </c>
      <c r="C993" s="3" t="str">
        <f>HYPERLINK("https://springer.com/11368")</f>
        <v>https://springer.com/11368</v>
      </c>
      <c r="D993" s="2" t="s">
        <v>2018</v>
      </c>
      <c r="E993" s="2" t="s">
        <v>8</v>
      </c>
    </row>
    <row r="994" spans="1:5" ht="12.75" customHeight="1" x14ac:dyDescent="0.3">
      <c r="A994" s="2" t="s">
        <v>2019</v>
      </c>
      <c r="B994" s="2" t="s">
        <v>151</v>
      </c>
      <c r="C994" s="3" t="str">
        <f>HYPERLINK("https://springer.com/11369")</f>
        <v>https://springer.com/11369</v>
      </c>
      <c r="D994" s="2" t="s">
        <v>2020</v>
      </c>
      <c r="E994" s="2" t="s">
        <v>8</v>
      </c>
    </row>
    <row r="995" spans="1:5" ht="12.75" customHeight="1" x14ac:dyDescent="0.3">
      <c r="A995" s="2" t="s">
        <v>2021</v>
      </c>
      <c r="B995" s="2" t="s">
        <v>56</v>
      </c>
      <c r="C995" s="3" t="str">
        <f>HYPERLINK("https://springer.com/11370")</f>
        <v>https://springer.com/11370</v>
      </c>
      <c r="D995" s="2" t="s">
        <v>2022</v>
      </c>
      <c r="E995" s="2" t="s">
        <v>8</v>
      </c>
    </row>
    <row r="996" spans="1:5" ht="12.75" customHeight="1" x14ac:dyDescent="0.3">
      <c r="A996" s="2" t="s">
        <v>2023</v>
      </c>
      <c r="B996" s="2" t="s">
        <v>78</v>
      </c>
      <c r="C996" s="3" t="str">
        <f>HYPERLINK("https://springer.com/11377")</f>
        <v>https://springer.com/11377</v>
      </c>
      <c r="D996" s="2" t="s">
        <v>2024</v>
      </c>
      <c r="E996" s="2" t="s">
        <v>8</v>
      </c>
    </row>
    <row r="997" spans="1:5" ht="12.75" customHeight="1" x14ac:dyDescent="0.3">
      <c r="A997" s="2" t="s">
        <v>2025</v>
      </c>
      <c r="B997" s="2" t="s">
        <v>63</v>
      </c>
      <c r="C997" s="3" t="str">
        <f>HYPERLINK("https://springer.com/11390")</f>
        <v>https://springer.com/11390</v>
      </c>
      <c r="D997" s="2" t="s">
        <v>2026</v>
      </c>
      <c r="E997" s="2" t="s">
        <v>8</v>
      </c>
    </row>
    <row r="998" spans="1:5" ht="12.75" customHeight="1" x14ac:dyDescent="0.3">
      <c r="A998" s="2" t="s">
        <v>2027</v>
      </c>
      <c r="B998" s="2" t="s">
        <v>10</v>
      </c>
      <c r="C998" s="3" t="str">
        <f>HYPERLINK("https://springer.com/11401")</f>
        <v>https://springer.com/11401</v>
      </c>
      <c r="D998" s="2" t="s">
        <v>2028</v>
      </c>
      <c r="E998" s="2" t="s">
        <v>8</v>
      </c>
    </row>
    <row r="999" spans="1:5" ht="12.75" customHeight="1" x14ac:dyDescent="0.3">
      <c r="A999" s="2" t="s">
        <v>2029</v>
      </c>
      <c r="B999" s="2" t="s">
        <v>151</v>
      </c>
      <c r="C999" s="3" t="str">
        <f>HYPERLINK("https://springer.com/11403")</f>
        <v>https://springer.com/11403</v>
      </c>
      <c r="D999" s="2" t="s">
        <v>2030</v>
      </c>
      <c r="E999" s="2" t="s">
        <v>8</v>
      </c>
    </row>
    <row r="1000" spans="1:5" ht="12.75" customHeight="1" x14ac:dyDescent="0.3">
      <c r="A1000" s="2" t="s">
        <v>2031</v>
      </c>
      <c r="B1000" s="2" t="s">
        <v>868</v>
      </c>
      <c r="C1000" s="3" t="str">
        <f>HYPERLINK("https://springer.com/11406")</f>
        <v>https://springer.com/11406</v>
      </c>
      <c r="D1000" s="2" t="s">
        <v>2032</v>
      </c>
      <c r="E1000" s="2" t="s">
        <v>8</v>
      </c>
    </row>
    <row r="1001" spans="1:5" ht="12.75" customHeight="1" x14ac:dyDescent="0.3">
      <c r="A1001" s="2" t="s">
        <v>2033</v>
      </c>
      <c r="B1001" s="2" t="s">
        <v>2034</v>
      </c>
      <c r="C1001" s="3" t="str">
        <f>HYPERLINK("https://springer.com/11407")</f>
        <v>https://springer.com/11407</v>
      </c>
      <c r="D1001" s="2" t="s">
        <v>2035</v>
      </c>
      <c r="E1001" s="2" t="s">
        <v>8</v>
      </c>
    </row>
    <row r="1002" spans="1:5" ht="12.75" customHeight="1" x14ac:dyDescent="0.3">
      <c r="A1002" s="2" t="s">
        <v>2036</v>
      </c>
      <c r="B1002" s="2" t="s">
        <v>181</v>
      </c>
      <c r="C1002" s="3" t="str">
        <f>HYPERLINK("https://springer.com/11408")</f>
        <v>https://springer.com/11408</v>
      </c>
      <c r="D1002" s="2" t="s">
        <v>2037</v>
      </c>
      <c r="E1002" s="2" t="s">
        <v>8</v>
      </c>
    </row>
    <row r="1003" spans="1:5" ht="12.75" customHeight="1" x14ac:dyDescent="0.3">
      <c r="A1003" s="2" t="s">
        <v>2038</v>
      </c>
      <c r="B1003" s="2" t="s">
        <v>753</v>
      </c>
      <c r="C1003" s="3" t="str">
        <f>HYPERLINK("https://springer.com/11409")</f>
        <v>https://springer.com/11409</v>
      </c>
      <c r="D1003" s="2" t="s">
        <v>2039</v>
      </c>
      <c r="E1003" s="2" t="s">
        <v>8</v>
      </c>
    </row>
    <row r="1004" spans="1:5" ht="12.75" customHeight="1" x14ac:dyDescent="0.3">
      <c r="A1004" s="2" t="s">
        <v>2040</v>
      </c>
      <c r="B1004" s="2" t="s">
        <v>753</v>
      </c>
      <c r="C1004" s="3" t="str">
        <f>HYPERLINK("https://springer.com/11412")</f>
        <v>https://springer.com/11412</v>
      </c>
      <c r="D1004" s="2" t="s">
        <v>2041</v>
      </c>
      <c r="E1004" s="2" t="s">
        <v>8</v>
      </c>
    </row>
    <row r="1005" spans="1:5" ht="12.75" customHeight="1" x14ac:dyDescent="0.3">
      <c r="A1005" s="2" t="s">
        <v>2042</v>
      </c>
      <c r="B1005" s="2" t="s">
        <v>78</v>
      </c>
      <c r="C1005" s="3" t="str">
        <f>HYPERLINK("https://springer.com/11414")</f>
        <v>https://springer.com/11414</v>
      </c>
      <c r="D1005" s="2" t="s">
        <v>2043</v>
      </c>
      <c r="E1005" s="2" t="s">
        <v>8</v>
      </c>
    </row>
    <row r="1006" spans="1:5" ht="12.75" customHeight="1" x14ac:dyDescent="0.3">
      <c r="A1006" s="2" t="s">
        <v>2044</v>
      </c>
      <c r="B1006" s="2" t="s">
        <v>63</v>
      </c>
      <c r="C1006" s="3" t="str">
        <f>HYPERLINK("https://springer.com/11416")</f>
        <v>https://springer.com/11416</v>
      </c>
      <c r="D1006" s="2" t="s">
        <v>2045</v>
      </c>
      <c r="E1006" s="2" t="s">
        <v>8</v>
      </c>
    </row>
    <row r="1007" spans="1:5" ht="12.75" customHeight="1" x14ac:dyDescent="0.3">
      <c r="A1007" s="2" t="s">
        <v>2046</v>
      </c>
      <c r="B1007" s="2" t="s">
        <v>1076</v>
      </c>
      <c r="C1007" s="3" t="str">
        <f>HYPERLINK("https://springer.com/11417")</f>
        <v>https://springer.com/11417</v>
      </c>
      <c r="D1007" s="2" t="s">
        <v>2047</v>
      </c>
      <c r="E1007" s="2" t="s">
        <v>8</v>
      </c>
    </row>
    <row r="1008" spans="1:5" ht="12.75" customHeight="1" x14ac:dyDescent="0.3">
      <c r="A1008" s="2" t="s">
        <v>2048</v>
      </c>
      <c r="B1008" s="2" t="s">
        <v>20</v>
      </c>
      <c r="C1008" s="3" t="str">
        <f>HYPERLINK("https://springer.com/11418")</f>
        <v>https://springer.com/11418</v>
      </c>
      <c r="D1008" s="2" t="s">
        <v>2049</v>
      </c>
      <c r="E1008" s="2" t="s">
        <v>8</v>
      </c>
    </row>
    <row r="1009" spans="1:5" ht="12.75" customHeight="1" x14ac:dyDescent="0.3">
      <c r="A1009" s="2" t="s">
        <v>2050</v>
      </c>
      <c r="B1009" s="2" t="s">
        <v>78</v>
      </c>
      <c r="C1009" s="3" t="str">
        <f>HYPERLINK("https://springer.com/11419")</f>
        <v>https://springer.com/11419</v>
      </c>
      <c r="D1009" s="2" t="s">
        <v>2051</v>
      </c>
      <c r="E1009" s="2" t="s">
        <v>8</v>
      </c>
    </row>
    <row r="1010" spans="1:5" ht="12.75" customHeight="1" x14ac:dyDescent="0.3">
      <c r="A1010" s="2" t="s">
        <v>2052</v>
      </c>
      <c r="B1010" s="2" t="s">
        <v>753</v>
      </c>
      <c r="C1010" s="3" t="str">
        <f>HYPERLINK("https://springer.com/11422")</f>
        <v>https://springer.com/11422</v>
      </c>
      <c r="D1010" s="2" t="s">
        <v>2053</v>
      </c>
      <c r="E1010" s="2" t="s">
        <v>8</v>
      </c>
    </row>
    <row r="1011" spans="1:5" ht="12.75" customHeight="1" x14ac:dyDescent="0.3">
      <c r="A1011" s="2" t="s">
        <v>2054</v>
      </c>
      <c r="B1011" s="2" t="s">
        <v>753</v>
      </c>
      <c r="C1011" s="3" t="str">
        <f>HYPERLINK("https://springer.com/11423")</f>
        <v>https://springer.com/11423</v>
      </c>
      <c r="D1011" s="2" t="s">
        <v>2055</v>
      </c>
      <c r="E1011" s="2" t="s">
        <v>8</v>
      </c>
    </row>
    <row r="1012" spans="1:5" ht="12.75" customHeight="1" x14ac:dyDescent="0.3">
      <c r="A1012" s="2" t="s">
        <v>2056</v>
      </c>
      <c r="B1012" s="2" t="s">
        <v>10</v>
      </c>
      <c r="C1012" s="3" t="str">
        <f>HYPERLINK("https://springer.com/11424")</f>
        <v>https://springer.com/11424</v>
      </c>
      <c r="D1012" s="2" t="s">
        <v>2057</v>
      </c>
      <c r="E1012" s="2" t="s">
        <v>8</v>
      </c>
    </row>
    <row r="1013" spans="1:5" ht="12.75" customHeight="1" x14ac:dyDescent="0.3">
      <c r="A1013" s="2" t="s">
        <v>2058</v>
      </c>
      <c r="B1013" s="2" t="s">
        <v>10</v>
      </c>
      <c r="C1013" s="3" t="str">
        <f>HYPERLINK("https://springer.com/11425")</f>
        <v>https://springer.com/11425</v>
      </c>
      <c r="D1013" s="2" t="s">
        <v>2059</v>
      </c>
      <c r="E1013" s="2" t="s">
        <v>8</v>
      </c>
    </row>
    <row r="1014" spans="1:5" ht="12.75" customHeight="1" x14ac:dyDescent="0.3">
      <c r="A1014" s="2" t="s">
        <v>2060</v>
      </c>
      <c r="B1014" s="2" t="s">
        <v>218</v>
      </c>
      <c r="C1014" s="3" t="str">
        <f>HYPERLINK("https://springer.com/11426")</f>
        <v>https://springer.com/11426</v>
      </c>
      <c r="D1014" s="2" t="s">
        <v>2061</v>
      </c>
      <c r="E1014" s="2" t="s">
        <v>8</v>
      </c>
    </row>
    <row r="1015" spans="1:5" ht="12.75" customHeight="1" x14ac:dyDescent="0.3">
      <c r="A1015" s="2" t="s">
        <v>2062</v>
      </c>
      <c r="B1015" s="2" t="s">
        <v>6</v>
      </c>
      <c r="C1015" s="3" t="str">
        <f>HYPERLINK("https://springer.com/11427")</f>
        <v>https://springer.com/11427</v>
      </c>
      <c r="D1015" s="2" t="s">
        <v>2063</v>
      </c>
      <c r="E1015" s="2" t="s">
        <v>8</v>
      </c>
    </row>
    <row r="1016" spans="1:5" ht="12.75" customHeight="1" x14ac:dyDescent="0.3">
      <c r="A1016" s="2" t="s">
        <v>2064</v>
      </c>
      <c r="B1016" s="2" t="s">
        <v>78</v>
      </c>
      <c r="C1016" s="3" t="str">
        <f>HYPERLINK("https://springer.com/11428")</f>
        <v>https://springer.com/11428</v>
      </c>
      <c r="D1016" s="2" t="s">
        <v>2065</v>
      </c>
      <c r="E1016" s="2" t="s">
        <v>8</v>
      </c>
    </row>
    <row r="1017" spans="1:5" ht="12.75" customHeight="1" x14ac:dyDescent="0.3">
      <c r="A1017" s="2" t="s">
        <v>2066</v>
      </c>
      <c r="B1017" s="2" t="s">
        <v>26</v>
      </c>
      <c r="C1017" s="3" t="str">
        <f>HYPERLINK("https://springer.com/11430")</f>
        <v>https://springer.com/11430</v>
      </c>
      <c r="D1017" s="2" t="s">
        <v>2067</v>
      </c>
      <c r="E1017" s="2" t="s">
        <v>8</v>
      </c>
    </row>
    <row r="1018" spans="1:5" ht="12.75" customHeight="1" x14ac:dyDescent="0.3">
      <c r="A1018" s="2" t="s">
        <v>2068</v>
      </c>
      <c r="B1018" s="2" t="s">
        <v>56</v>
      </c>
      <c r="C1018" s="3" t="str">
        <f>HYPERLINK("https://springer.com/11431")</f>
        <v>https://springer.com/11431</v>
      </c>
      <c r="D1018" s="2" t="s">
        <v>2069</v>
      </c>
      <c r="E1018" s="2" t="s">
        <v>8</v>
      </c>
    </row>
    <row r="1019" spans="1:5" ht="12.75" customHeight="1" x14ac:dyDescent="0.3">
      <c r="A1019" s="2" t="s">
        <v>2070</v>
      </c>
      <c r="B1019" s="2" t="s">
        <v>63</v>
      </c>
      <c r="C1019" s="3" t="str">
        <f>HYPERLINK("https://springer.com/11432")</f>
        <v>https://springer.com/11432</v>
      </c>
      <c r="D1019" s="2" t="s">
        <v>2071</v>
      </c>
      <c r="E1019" s="2" t="s">
        <v>8</v>
      </c>
    </row>
    <row r="1020" spans="1:5" ht="12.75" customHeight="1" x14ac:dyDescent="0.3">
      <c r="A1020" s="2" t="s">
        <v>2072</v>
      </c>
      <c r="B1020" s="2" t="s">
        <v>13</v>
      </c>
      <c r="C1020" s="3" t="str">
        <f>HYPERLINK("https://springer.com/11433")</f>
        <v>https://springer.com/11433</v>
      </c>
      <c r="D1020" s="2" t="s">
        <v>2073</v>
      </c>
      <c r="E1020" s="2" t="s">
        <v>8</v>
      </c>
    </row>
    <row r="1021" spans="1:5" ht="12.75" customHeight="1" x14ac:dyDescent="0.3">
      <c r="A1021" s="2" t="s">
        <v>2074</v>
      </c>
      <c r="B1021" s="2" t="s">
        <v>13</v>
      </c>
      <c r="C1021" s="3" t="str">
        <f>HYPERLINK("https://springer.com/11439")</f>
        <v>https://springer.com/11439</v>
      </c>
      <c r="D1021" s="2" t="s">
        <v>2075</v>
      </c>
      <c r="E1021" s="2"/>
    </row>
    <row r="1022" spans="1:5" ht="12.75" customHeight="1" x14ac:dyDescent="0.3">
      <c r="A1022" s="2" t="s">
        <v>2076</v>
      </c>
      <c r="B1022" s="2" t="s">
        <v>56</v>
      </c>
      <c r="C1022" s="3" t="str">
        <f>HYPERLINK("https://springer.com/11440")</f>
        <v>https://springer.com/11440</v>
      </c>
      <c r="D1022" s="2" t="s">
        <v>2077</v>
      </c>
      <c r="E1022" s="2" t="s">
        <v>8</v>
      </c>
    </row>
    <row r="1023" spans="1:5" ht="12.75" customHeight="1" x14ac:dyDescent="0.3">
      <c r="A1023" s="2" t="s">
        <v>2078</v>
      </c>
      <c r="B1023" s="2" t="s">
        <v>13</v>
      </c>
      <c r="C1023" s="3" t="str">
        <f>HYPERLINK("https://springer.com/11441")</f>
        <v>https://springer.com/11441</v>
      </c>
      <c r="D1023" s="2" t="s">
        <v>2079</v>
      </c>
      <c r="E1023" s="2"/>
    </row>
    <row r="1024" spans="1:5" ht="12.75" customHeight="1" x14ac:dyDescent="0.3">
      <c r="A1024" s="2" t="s">
        <v>2080</v>
      </c>
      <c r="B1024" s="2" t="s">
        <v>528</v>
      </c>
      <c r="C1024" s="3" t="str">
        <f>HYPERLINK("https://springer.com/11442")</f>
        <v>https://springer.com/11442</v>
      </c>
      <c r="D1024" s="2" t="s">
        <v>2081</v>
      </c>
      <c r="E1024" s="2" t="s">
        <v>8</v>
      </c>
    </row>
    <row r="1025" spans="1:5" ht="12.75" customHeight="1" x14ac:dyDescent="0.3">
      <c r="A1025" s="2" t="s">
        <v>2082</v>
      </c>
      <c r="B1025" s="2" t="s">
        <v>13</v>
      </c>
      <c r="C1025" s="3" t="str">
        <f>HYPERLINK("https://springer.com/11443")</f>
        <v>https://springer.com/11443</v>
      </c>
      <c r="D1025" s="2" t="s">
        <v>2083</v>
      </c>
      <c r="E1025" s="2"/>
    </row>
    <row r="1026" spans="1:5" ht="12.75" customHeight="1" x14ac:dyDescent="0.3">
      <c r="A1026" s="2" t="s">
        <v>2084</v>
      </c>
      <c r="B1026" s="2" t="s">
        <v>13</v>
      </c>
      <c r="C1026" s="3" t="str">
        <f>HYPERLINK("https://springer.com/11444")</f>
        <v>https://springer.com/11444</v>
      </c>
      <c r="D1026" s="2" t="s">
        <v>2085</v>
      </c>
      <c r="E1026" s="2"/>
    </row>
    <row r="1027" spans="1:5" ht="12.75" customHeight="1" x14ac:dyDescent="0.3">
      <c r="A1027" s="2" t="s">
        <v>2086</v>
      </c>
      <c r="B1027" s="2" t="s">
        <v>13</v>
      </c>
      <c r="C1027" s="3" t="str">
        <f>HYPERLINK("https://springer.com/11445")</f>
        <v>https://springer.com/11445</v>
      </c>
      <c r="D1027" s="2" t="s">
        <v>2087</v>
      </c>
      <c r="E1027" s="2"/>
    </row>
    <row r="1028" spans="1:5" ht="12.75" customHeight="1" x14ac:dyDescent="0.3">
      <c r="A1028" s="2" t="s">
        <v>2088</v>
      </c>
      <c r="B1028" s="2" t="s">
        <v>13</v>
      </c>
      <c r="C1028" s="3" t="str">
        <f>HYPERLINK("https://springer.com/11446")</f>
        <v>https://springer.com/11446</v>
      </c>
      <c r="D1028" s="2" t="s">
        <v>2089</v>
      </c>
      <c r="E1028" s="2"/>
    </row>
    <row r="1029" spans="1:5" ht="12.75" customHeight="1" x14ac:dyDescent="0.3">
      <c r="A1029" s="2" t="s">
        <v>2090</v>
      </c>
      <c r="B1029" s="2" t="s">
        <v>13</v>
      </c>
      <c r="C1029" s="3" t="str">
        <f>HYPERLINK("https://springer.com/11447")</f>
        <v>https://springer.com/11447</v>
      </c>
      <c r="D1029" s="2" t="s">
        <v>2091</v>
      </c>
      <c r="E1029" s="2"/>
    </row>
    <row r="1030" spans="1:5" ht="12.75" customHeight="1" x14ac:dyDescent="0.3">
      <c r="A1030" s="2" t="s">
        <v>2092</v>
      </c>
      <c r="B1030" s="2" t="s">
        <v>13</v>
      </c>
      <c r="C1030" s="3" t="str">
        <f>HYPERLINK("https://springer.com/11448")</f>
        <v>https://springer.com/11448</v>
      </c>
      <c r="D1030" s="2" t="s">
        <v>2093</v>
      </c>
      <c r="E1030" s="2"/>
    </row>
    <row r="1031" spans="1:5" ht="12.75" customHeight="1" x14ac:dyDescent="0.3">
      <c r="A1031" s="2" t="s">
        <v>2094</v>
      </c>
      <c r="B1031" s="2" t="s">
        <v>13</v>
      </c>
      <c r="C1031" s="3" t="str">
        <f>HYPERLINK("https://springer.com/11449")</f>
        <v>https://springer.com/11449</v>
      </c>
      <c r="D1031" s="2" t="s">
        <v>2095</v>
      </c>
      <c r="E1031" s="2"/>
    </row>
    <row r="1032" spans="1:5" ht="12.75" customHeight="1" x14ac:dyDescent="0.3">
      <c r="A1032" s="2" t="s">
        <v>2096</v>
      </c>
      <c r="B1032" s="2" t="s">
        <v>13</v>
      </c>
      <c r="C1032" s="3" t="str">
        <f>HYPERLINK("https://springer.com/11450")</f>
        <v>https://springer.com/11450</v>
      </c>
      <c r="D1032" s="2" t="s">
        <v>2097</v>
      </c>
      <c r="E1032" s="2"/>
    </row>
    <row r="1033" spans="1:5" ht="12.75" customHeight="1" x14ac:dyDescent="0.3">
      <c r="A1033" s="2" t="s">
        <v>2098</v>
      </c>
      <c r="B1033" s="2" t="s">
        <v>13</v>
      </c>
      <c r="C1033" s="3" t="str">
        <f>HYPERLINK("https://springer.com/11451")</f>
        <v>https://springer.com/11451</v>
      </c>
      <c r="D1033" s="2" t="s">
        <v>2099</v>
      </c>
      <c r="E1033" s="2"/>
    </row>
    <row r="1034" spans="1:5" ht="12.75" customHeight="1" x14ac:dyDescent="0.3">
      <c r="A1034" s="2" t="s">
        <v>2100</v>
      </c>
      <c r="B1034" s="2" t="s">
        <v>13</v>
      </c>
      <c r="C1034" s="3" t="str">
        <f>HYPERLINK("https://springer.com/11452")</f>
        <v>https://springer.com/11452</v>
      </c>
      <c r="D1034" s="2" t="s">
        <v>2101</v>
      </c>
      <c r="E1034" s="2"/>
    </row>
    <row r="1035" spans="1:5" ht="12.75" customHeight="1" x14ac:dyDescent="0.3">
      <c r="A1035" s="2" t="s">
        <v>2102</v>
      </c>
      <c r="B1035" s="2" t="s">
        <v>13</v>
      </c>
      <c r="C1035" s="3" t="str">
        <f>HYPERLINK("https://springer.com/11453")</f>
        <v>https://springer.com/11453</v>
      </c>
      <c r="D1035" s="2" t="s">
        <v>2103</v>
      </c>
      <c r="E1035" s="2"/>
    </row>
    <row r="1036" spans="1:5" ht="12.75" customHeight="1" x14ac:dyDescent="0.3">
      <c r="A1036" s="2" t="s">
        <v>2104</v>
      </c>
      <c r="B1036" s="2" t="s">
        <v>13</v>
      </c>
      <c r="C1036" s="3" t="str">
        <f>HYPERLINK("https://springer.com/11454")</f>
        <v>https://springer.com/11454</v>
      </c>
      <c r="D1036" s="2" t="s">
        <v>2105</v>
      </c>
      <c r="E1036" s="2"/>
    </row>
    <row r="1037" spans="1:5" ht="12.75" customHeight="1" x14ac:dyDescent="0.3">
      <c r="A1037" s="2" t="s">
        <v>2106</v>
      </c>
      <c r="B1037" s="2" t="s">
        <v>13</v>
      </c>
      <c r="C1037" s="3" t="str">
        <f>HYPERLINK("https://springer.com/11455")</f>
        <v>https://springer.com/11455</v>
      </c>
      <c r="D1037" s="2" t="s">
        <v>2107</v>
      </c>
      <c r="E1037" s="2"/>
    </row>
    <row r="1038" spans="1:5" ht="12.75" customHeight="1" x14ac:dyDescent="0.3">
      <c r="A1038" s="2" t="s">
        <v>2108</v>
      </c>
      <c r="B1038" s="2" t="s">
        <v>794</v>
      </c>
      <c r="C1038" s="3" t="str">
        <f>HYPERLINK("https://springer.com/11457")</f>
        <v>https://springer.com/11457</v>
      </c>
      <c r="D1038" s="2" t="s">
        <v>2109</v>
      </c>
      <c r="E1038" s="2" t="s">
        <v>8</v>
      </c>
    </row>
    <row r="1039" spans="1:5" ht="12.75" customHeight="1" x14ac:dyDescent="0.3">
      <c r="A1039" s="2" t="s">
        <v>2110</v>
      </c>
      <c r="B1039" s="2" t="s">
        <v>56</v>
      </c>
      <c r="C1039" s="3" t="str">
        <f>HYPERLINK("https://springer.com/11465")</f>
        <v>https://springer.com/11465</v>
      </c>
      <c r="D1039" s="2" t="s">
        <v>2111</v>
      </c>
      <c r="E1039" s="2" t="s">
        <v>8</v>
      </c>
    </row>
    <row r="1040" spans="1:5" ht="12.75" customHeight="1" x14ac:dyDescent="0.3">
      <c r="A1040" s="2" t="s">
        <v>2112</v>
      </c>
      <c r="B1040" s="2" t="s">
        <v>218</v>
      </c>
      <c r="C1040" s="3" t="str">
        <f>HYPERLINK("https://springer.com/11468")</f>
        <v>https://springer.com/11468</v>
      </c>
      <c r="D1040" s="2" t="s">
        <v>2113</v>
      </c>
      <c r="E1040" s="2" t="s">
        <v>8</v>
      </c>
    </row>
    <row r="1041" spans="1:5" ht="12.75" customHeight="1" x14ac:dyDescent="0.3">
      <c r="A1041" s="2" t="s">
        <v>2114</v>
      </c>
      <c r="B1041" s="2" t="s">
        <v>78</v>
      </c>
      <c r="C1041" s="3" t="str">
        <f>HYPERLINK("https://springer.com/11469")</f>
        <v>https://springer.com/11469</v>
      </c>
      <c r="D1041" s="2" t="s">
        <v>2115</v>
      </c>
      <c r="E1041" s="2" t="s">
        <v>8</v>
      </c>
    </row>
    <row r="1042" spans="1:5" ht="12.75" customHeight="1" x14ac:dyDescent="0.3">
      <c r="A1042" s="2" t="s">
        <v>2116</v>
      </c>
      <c r="B1042" s="2" t="s">
        <v>10</v>
      </c>
      <c r="C1042" s="3" t="str">
        <f>HYPERLINK("https://springer.com/11470")</f>
        <v>https://springer.com/11470</v>
      </c>
      <c r="D1042" s="2" t="s">
        <v>2117</v>
      </c>
      <c r="E1042" s="2"/>
    </row>
    <row r="1043" spans="1:5" ht="12.75" customHeight="1" x14ac:dyDescent="0.3">
      <c r="A1043" s="2" t="s">
        <v>2118</v>
      </c>
      <c r="B1043" s="2" t="s">
        <v>26</v>
      </c>
      <c r="C1043" s="3" t="str">
        <f>HYPERLINK("https://springer.com/11471")</f>
        <v>https://springer.com/11471</v>
      </c>
      <c r="D1043" s="2" t="s">
        <v>2119</v>
      </c>
      <c r="E1043" s="2"/>
    </row>
    <row r="1044" spans="1:5" ht="12.75" customHeight="1" x14ac:dyDescent="0.3">
      <c r="A1044" s="2" t="s">
        <v>2120</v>
      </c>
      <c r="B1044" s="2" t="s">
        <v>10</v>
      </c>
      <c r="C1044" s="3" t="str">
        <f>HYPERLINK("https://springer.com/11472")</f>
        <v>https://springer.com/11472</v>
      </c>
      <c r="D1044" s="2" t="s">
        <v>2121</v>
      </c>
      <c r="E1044" s="2"/>
    </row>
    <row r="1045" spans="1:5" ht="12.75" customHeight="1" x14ac:dyDescent="0.3">
      <c r="A1045" s="2" t="s">
        <v>2122</v>
      </c>
      <c r="B1045" s="2" t="s">
        <v>6</v>
      </c>
      <c r="C1045" s="3" t="str">
        <f>HYPERLINK("https://springer.com/11474")</f>
        <v>https://springer.com/11474</v>
      </c>
      <c r="D1045" s="2" t="s">
        <v>2123</v>
      </c>
      <c r="E1045" s="2"/>
    </row>
    <row r="1046" spans="1:5" ht="12.75" customHeight="1" x14ac:dyDescent="0.3">
      <c r="A1046" s="2" t="s">
        <v>2124</v>
      </c>
      <c r="B1046" s="2" t="s">
        <v>26</v>
      </c>
      <c r="C1046" s="3" t="str">
        <f>HYPERLINK("https://springer.com/11475")</f>
        <v>https://springer.com/11475</v>
      </c>
      <c r="D1046" s="2" t="s">
        <v>2125</v>
      </c>
      <c r="E1046" s="2"/>
    </row>
    <row r="1047" spans="1:5" ht="12.75" customHeight="1" x14ac:dyDescent="0.3">
      <c r="A1047" s="2" t="s">
        <v>2126</v>
      </c>
      <c r="B1047" s="2" t="s">
        <v>26</v>
      </c>
      <c r="C1047" s="3" t="str">
        <f>HYPERLINK("https://springer.com/11476")</f>
        <v>https://springer.com/11476</v>
      </c>
      <c r="D1047" s="2" t="s">
        <v>2127</v>
      </c>
      <c r="E1047" s="2"/>
    </row>
    <row r="1048" spans="1:5" ht="12.75" customHeight="1" x14ac:dyDescent="0.3">
      <c r="A1048" s="2" t="s">
        <v>2128</v>
      </c>
      <c r="B1048" s="2" t="s">
        <v>26</v>
      </c>
      <c r="C1048" s="3" t="str">
        <f>HYPERLINK("https://springer.com/11477")</f>
        <v>https://springer.com/11477</v>
      </c>
      <c r="D1048" s="2" t="s">
        <v>2129</v>
      </c>
      <c r="E1048" s="2"/>
    </row>
    <row r="1049" spans="1:5" ht="12.75" customHeight="1" x14ac:dyDescent="0.3">
      <c r="A1049" s="2" t="s">
        <v>2130</v>
      </c>
      <c r="B1049" s="2" t="s">
        <v>26</v>
      </c>
      <c r="C1049" s="3" t="str">
        <f>HYPERLINK("https://springer.com/11478")</f>
        <v>https://springer.com/11478</v>
      </c>
      <c r="D1049" s="2" t="s">
        <v>2131</v>
      </c>
      <c r="E1049" s="2"/>
    </row>
    <row r="1050" spans="1:5" ht="12.75" customHeight="1" x14ac:dyDescent="0.3">
      <c r="A1050" s="2" t="s">
        <v>2132</v>
      </c>
      <c r="B1050" s="2" t="s">
        <v>26</v>
      </c>
      <c r="C1050" s="3" t="str">
        <f>HYPERLINK("https://springer.com/11479")</f>
        <v>https://springer.com/11479</v>
      </c>
      <c r="D1050" s="2" t="s">
        <v>2133</v>
      </c>
      <c r="E1050" s="2"/>
    </row>
    <row r="1051" spans="1:5" ht="12.75" customHeight="1" x14ac:dyDescent="0.3">
      <c r="A1051" s="2" t="s">
        <v>2134</v>
      </c>
      <c r="B1051" s="2" t="s">
        <v>133</v>
      </c>
      <c r="C1051" s="3" t="str">
        <f>HYPERLINK("https://springer.com/11480")</f>
        <v>https://springer.com/11480</v>
      </c>
      <c r="D1051" s="2" t="s">
        <v>2135</v>
      </c>
      <c r="E1051" s="2"/>
    </row>
    <row r="1052" spans="1:5" ht="12.75" customHeight="1" x14ac:dyDescent="0.3">
      <c r="A1052" s="2" t="s">
        <v>2136</v>
      </c>
      <c r="B1052" s="2" t="s">
        <v>20</v>
      </c>
      <c r="C1052" s="3" t="str">
        <f>HYPERLINK("https://springer.com/11481")</f>
        <v>https://springer.com/11481</v>
      </c>
      <c r="D1052" s="2" t="s">
        <v>2137</v>
      </c>
      <c r="E1052" s="2" t="s">
        <v>8</v>
      </c>
    </row>
    <row r="1053" spans="1:5" ht="12.75" customHeight="1" x14ac:dyDescent="0.3">
      <c r="A1053" s="2" t="s">
        <v>2138</v>
      </c>
      <c r="B1053" s="2" t="s">
        <v>794</v>
      </c>
      <c r="C1053" s="3" t="str">
        <f>HYPERLINK("https://springer.com/11482")</f>
        <v>https://springer.com/11482</v>
      </c>
      <c r="D1053" s="2" t="s">
        <v>2139</v>
      </c>
      <c r="E1053" s="2" t="s">
        <v>8</v>
      </c>
    </row>
    <row r="1054" spans="1:5" ht="12.75" customHeight="1" x14ac:dyDescent="0.3">
      <c r="A1054" s="2" t="s">
        <v>2140</v>
      </c>
      <c r="B1054" s="2" t="s">
        <v>218</v>
      </c>
      <c r="C1054" s="3" t="str">
        <f>HYPERLINK("https://springer.com/11483")</f>
        <v>https://springer.com/11483</v>
      </c>
      <c r="D1054" s="2" t="s">
        <v>2141</v>
      </c>
      <c r="E1054" s="2" t="s">
        <v>8</v>
      </c>
    </row>
    <row r="1055" spans="1:5" ht="12.75" customHeight="1" x14ac:dyDescent="0.3">
      <c r="A1055" s="2" t="s">
        <v>2142</v>
      </c>
      <c r="B1055" s="2" t="s">
        <v>26</v>
      </c>
      <c r="C1055" s="3" t="str">
        <f>HYPERLINK("https://springer.com/11485")</f>
        <v>https://springer.com/11485</v>
      </c>
      <c r="D1055" s="2" t="s">
        <v>2143</v>
      </c>
      <c r="E1055" s="2"/>
    </row>
    <row r="1056" spans="1:5" ht="12.75" customHeight="1" x14ac:dyDescent="0.3">
      <c r="A1056" s="2" t="s">
        <v>2144</v>
      </c>
      <c r="B1056" s="2" t="s">
        <v>26</v>
      </c>
      <c r="C1056" s="3" t="str">
        <f>HYPERLINK("https://springer.com/11486")</f>
        <v>https://springer.com/11486</v>
      </c>
      <c r="D1056" s="2" t="s">
        <v>2145</v>
      </c>
      <c r="E1056" s="2"/>
    </row>
    <row r="1057" spans="1:5" ht="12.75" customHeight="1" x14ac:dyDescent="0.3">
      <c r="A1057" s="2" t="s">
        <v>2146</v>
      </c>
      <c r="B1057" s="2" t="s">
        <v>56</v>
      </c>
      <c r="C1057" s="3" t="str">
        <f>HYPERLINK("https://springer.com/11487")</f>
        <v>https://springer.com/11487</v>
      </c>
      <c r="D1057" s="2" t="s">
        <v>2147</v>
      </c>
      <c r="E1057" s="2"/>
    </row>
    <row r="1058" spans="1:5" ht="12.75" customHeight="1" x14ac:dyDescent="0.3">
      <c r="A1058" s="2" t="s">
        <v>2148</v>
      </c>
      <c r="B1058" s="2" t="s">
        <v>56</v>
      </c>
      <c r="C1058" s="3" t="str">
        <f>HYPERLINK("https://springer.com/11488")</f>
        <v>https://springer.com/11488</v>
      </c>
      <c r="D1058" s="2" t="s">
        <v>2149</v>
      </c>
      <c r="E1058" s="2"/>
    </row>
    <row r="1059" spans="1:5" ht="12.75" customHeight="1" x14ac:dyDescent="0.3">
      <c r="A1059" s="2" t="s">
        <v>2150</v>
      </c>
      <c r="B1059" s="2" t="s">
        <v>6</v>
      </c>
      <c r="C1059" s="3" t="str">
        <f>HYPERLINK("https://springer.com/11489")</f>
        <v>https://springer.com/11489</v>
      </c>
      <c r="D1059" s="2" t="s">
        <v>2151</v>
      </c>
      <c r="E1059" s="2"/>
    </row>
    <row r="1060" spans="1:5" ht="12.75" customHeight="1" x14ac:dyDescent="0.3">
      <c r="A1060" s="2" t="s">
        <v>2152</v>
      </c>
      <c r="B1060" s="2" t="s">
        <v>26</v>
      </c>
      <c r="C1060" s="3" t="str">
        <f>HYPERLINK("https://springer.com/11491")</f>
        <v>https://springer.com/11491</v>
      </c>
      <c r="D1060" s="2" t="s">
        <v>2153</v>
      </c>
      <c r="E1060" s="2"/>
    </row>
    <row r="1061" spans="1:5" ht="12.75" customHeight="1" x14ac:dyDescent="0.3">
      <c r="A1061" s="2" t="s">
        <v>2154</v>
      </c>
      <c r="B1061" s="2" t="s">
        <v>26</v>
      </c>
      <c r="C1061" s="3" t="str">
        <f>HYPERLINK("https://springer.com/11492")</f>
        <v>https://springer.com/11492</v>
      </c>
      <c r="D1061" s="2" t="s">
        <v>2155</v>
      </c>
      <c r="E1061" s="2"/>
    </row>
    <row r="1062" spans="1:5" ht="12.75" customHeight="1" x14ac:dyDescent="0.3">
      <c r="A1062" s="2" t="s">
        <v>2156</v>
      </c>
      <c r="B1062" s="2" t="s">
        <v>63</v>
      </c>
      <c r="C1062" s="3" t="str">
        <f>HYPERLINK("https://springer.com/11493")</f>
        <v>https://springer.com/11493</v>
      </c>
      <c r="D1062" s="2" t="s">
        <v>2157</v>
      </c>
      <c r="E1062" s="2"/>
    </row>
    <row r="1063" spans="1:5" ht="12.75" customHeight="1" x14ac:dyDescent="0.3">
      <c r="A1063" s="2" t="s">
        <v>2158</v>
      </c>
      <c r="B1063" s="2" t="s">
        <v>218</v>
      </c>
      <c r="C1063" s="3" t="str">
        <f>HYPERLINK("https://springer.com/11494")</f>
        <v>https://springer.com/11494</v>
      </c>
      <c r="D1063" s="2" t="s">
        <v>2159</v>
      </c>
      <c r="E1063" s="2"/>
    </row>
    <row r="1064" spans="1:5" ht="12.75" customHeight="1" x14ac:dyDescent="0.3">
      <c r="A1064" s="2" t="s">
        <v>2160</v>
      </c>
      <c r="B1064" s="2" t="s">
        <v>26</v>
      </c>
      <c r="C1064" s="3" t="str">
        <f>HYPERLINK("https://springer.com/11495")</f>
        <v>https://springer.com/11495</v>
      </c>
      <c r="D1064" s="2" t="s">
        <v>2161</v>
      </c>
      <c r="E1064" s="2"/>
    </row>
    <row r="1065" spans="1:5" ht="12.75" customHeight="1" x14ac:dyDescent="0.3">
      <c r="A1065" s="2" t="s">
        <v>2162</v>
      </c>
      <c r="B1065" s="2" t="s">
        <v>13</v>
      </c>
      <c r="C1065" s="3" t="str">
        <f>HYPERLINK("https://springer.com/11496")</f>
        <v>https://springer.com/11496</v>
      </c>
      <c r="D1065" s="2" t="s">
        <v>2163</v>
      </c>
      <c r="E1065" s="2"/>
    </row>
    <row r="1066" spans="1:5" ht="12.75" customHeight="1" x14ac:dyDescent="0.3">
      <c r="A1066" s="2" t="s">
        <v>2164</v>
      </c>
      <c r="B1066" s="2" t="s">
        <v>13</v>
      </c>
      <c r="C1066" s="3" t="str">
        <f>HYPERLINK("https://springer.com/11497")</f>
        <v>https://springer.com/11497</v>
      </c>
      <c r="D1066" s="2" t="s">
        <v>2165</v>
      </c>
      <c r="E1066" s="2"/>
    </row>
    <row r="1067" spans="1:5" ht="12.75" customHeight="1" x14ac:dyDescent="0.3">
      <c r="A1067" s="2" t="s">
        <v>2166</v>
      </c>
      <c r="B1067" s="2" t="s">
        <v>218</v>
      </c>
      <c r="C1067" s="3" t="str">
        <f>HYPERLINK("https://springer.com/11498")</f>
        <v>https://springer.com/11498</v>
      </c>
      <c r="D1067" s="2" t="s">
        <v>2167</v>
      </c>
      <c r="E1067" s="2"/>
    </row>
    <row r="1068" spans="1:5" ht="12.75" customHeight="1" x14ac:dyDescent="0.3">
      <c r="A1068" s="2" t="s">
        <v>2168</v>
      </c>
      <c r="B1068" s="2" t="s">
        <v>218</v>
      </c>
      <c r="C1068" s="3" t="str">
        <f>HYPERLINK("https://springer.com/11499")</f>
        <v>https://springer.com/11499</v>
      </c>
      <c r="D1068" s="2" t="s">
        <v>2169</v>
      </c>
      <c r="E1068" s="2"/>
    </row>
    <row r="1069" spans="1:5" ht="12.75" customHeight="1" x14ac:dyDescent="0.3">
      <c r="A1069" s="2" t="s">
        <v>2170</v>
      </c>
      <c r="B1069" s="2" t="s">
        <v>218</v>
      </c>
      <c r="C1069" s="3" t="str">
        <f>HYPERLINK("https://springer.com/11500")</f>
        <v>https://springer.com/11500</v>
      </c>
      <c r="D1069" s="2" t="s">
        <v>2171</v>
      </c>
      <c r="E1069" s="2"/>
    </row>
    <row r="1070" spans="1:5" ht="12.75" customHeight="1" x14ac:dyDescent="0.3">
      <c r="A1070" s="2" t="s">
        <v>2172</v>
      </c>
      <c r="B1070" s="2" t="s">
        <v>10</v>
      </c>
      <c r="C1070" s="3" t="str">
        <f>HYPERLINK("https://springer.com/11501")</f>
        <v>https://springer.com/11501</v>
      </c>
      <c r="D1070" s="2" t="s">
        <v>2173</v>
      </c>
      <c r="E1070" s="2"/>
    </row>
    <row r="1071" spans="1:5" ht="12.75" customHeight="1" x14ac:dyDescent="0.3">
      <c r="A1071" s="2" t="s">
        <v>2174</v>
      </c>
      <c r="B1071" s="2" t="s">
        <v>218</v>
      </c>
      <c r="C1071" s="3" t="str">
        <f>HYPERLINK("https://springer.com/11502")</f>
        <v>https://springer.com/11502</v>
      </c>
      <c r="D1071" s="2" t="s">
        <v>2175</v>
      </c>
      <c r="E1071" s="2"/>
    </row>
    <row r="1072" spans="1:5" ht="12.75" customHeight="1" x14ac:dyDescent="0.3">
      <c r="A1072" s="2" t="s">
        <v>2176</v>
      </c>
      <c r="B1072" s="2" t="s">
        <v>13</v>
      </c>
      <c r="C1072" s="3" t="str">
        <f>HYPERLINK("https://springer.com/11503")</f>
        <v>https://springer.com/11503</v>
      </c>
      <c r="D1072" s="2" t="s">
        <v>2177</v>
      </c>
      <c r="E1072" s="2"/>
    </row>
    <row r="1073" spans="1:5" ht="12.75" customHeight="1" x14ac:dyDescent="0.3">
      <c r="A1073" s="2" t="s">
        <v>2178</v>
      </c>
      <c r="B1073" s="2" t="s">
        <v>218</v>
      </c>
      <c r="C1073" s="3" t="str">
        <f>HYPERLINK("https://springer.com/11504")</f>
        <v>https://springer.com/11504</v>
      </c>
      <c r="D1073" s="2" t="s">
        <v>2179</v>
      </c>
      <c r="E1073" s="2"/>
    </row>
    <row r="1074" spans="1:5" ht="12.75" customHeight="1" x14ac:dyDescent="0.3">
      <c r="A1074" s="2" t="s">
        <v>2180</v>
      </c>
      <c r="B1074" s="2" t="s">
        <v>396</v>
      </c>
      <c r="C1074" s="3" t="str">
        <f>HYPERLINK("https://springer.com/11505")</f>
        <v>https://springer.com/11505</v>
      </c>
      <c r="D1074" s="2" t="s">
        <v>2181</v>
      </c>
      <c r="E1074" s="2"/>
    </row>
    <row r="1075" spans="1:5" ht="12.75" customHeight="1" x14ac:dyDescent="0.3">
      <c r="A1075" s="2" t="s">
        <v>2182</v>
      </c>
      <c r="B1075" s="2" t="s">
        <v>26</v>
      </c>
      <c r="C1075" s="3" t="str">
        <f>HYPERLINK("https://springer.com/11506")</f>
        <v>https://springer.com/11506</v>
      </c>
      <c r="D1075" s="2" t="s">
        <v>2183</v>
      </c>
      <c r="E1075" s="2"/>
    </row>
    <row r="1076" spans="1:5" ht="12.75" customHeight="1" x14ac:dyDescent="0.3">
      <c r="A1076" s="2" t="s">
        <v>2184</v>
      </c>
      <c r="B1076" s="2" t="s">
        <v>151</v>
      </c>
      <c r="C1076" s="3" t="str">
        <f>HYPERLINK("https://springer.com/11507")</f>
        <v>https://springer.com/11507</v>
      </c>
      <c r="D1076" s="2" t="s">
        <v>2185</v>
      </c>
      <c r="E1076" s="2"/>
    </row>
    <row r="1077" spans="1:5" ht="12.75" customHeight="1" x14ac:dyDescent="0.3">
      <c r="A1077" s="2" t="s">
        <v>2186</v>
      </c>
      <c r="B1077" s="2" t="s">
        <v>396</v>
      </c>
      <c r="C1077" s="3" t="str">
        <f>HYPERLINK("https://springer.com/11508")</f>
        <v>https://springer.com/11508</v>
      </c>
      <c r="D1077" s="2" t="s">
        <v>2187</v>
      </c>
      <c r="E1077" s="2"/>
    </row>
    <row r="1078" spans="1:5" ht="12.75" customHeight="1" x14ac:dyDescent="0.3">
      <c r="A1078" s="2" t="s">
        <v>2188</v>
      </c>
      <c r="B1078" s="2" t="s">
        <v>56</v>
      </c>
      <c r="C1078" s="3" t="str">
        <f>HYPERLINK("https://springer.com/11509")</f>
        <v>https://springer.com/11509</v>
      </c>
      <c r="D1078" s="2" t="s">
        <v>2189</v>
      </c>
      <c r="E1078" s="2"/>
    </row>
    <row r="1079" spans="1:5" ht="12.75" customHeight="1" x14ac:dyDescent="0.3">
      <c r="A1079" s="2" t="s">
        <v>2190</v>
      </c>
      <c r="B1079" s="2" t="s">
        <v>13</v>
      </c>
      <c r="C1079" s="3" t="str">
        <f>HYPERLINK("https://springer.com/11510")</f>
        <v>https://springer.com/11510</v>
      </c>
      <c r="D1079" s="2" t="s">
        <v>2191</v>
      </c>
      <c r="E1079" s="2"/>
    </row>
    <row r="1080" spans="1:5" ht="12.75" customHeight="1" x14ac:dyDescent="0.3">
      <c r="A1080" s="2" t="s">
        <v>2192</v>
      </c>
      <c r="B1080" s="2" t="s">
        <v>20</v>
      </c>
      <c r="C1080" s="3" t="str">
        <f>HYPERLINK("https://springer.com/11517")</f>
        <v>https://springer.com/11517</v>
      </c>
      <c r="D1080" s="2" t="s">
        <v>2193</v>
      </c>
      <c r="E1080" s="2" t="s">
        <v>8</v>
      </c>
    </row>
    <row r="1081" spans="1:5" ht="12.75" customHeight="1" x14ac:dyDescent="0.3">
      <c r="A1081" s="2" t="s">
        <v>2194</v>
      </c>
      <c r="B1081" s="2" t="s">
        <v>56</v>
      </c>
      <c r="C1081" s="3" t="str">
        <f>HYPERLINK("https://springer.com/11518")</f>
        <v>https://springer.com/11518</v>
      </c>
      <c r="D1081" s="2" t="s">
        <v>2195</v>
      </c>
      <c r="E1081" s="2" t="s">
        <v>8</v>
      </c>
    </row>
    <row r="1082" spans="1:5" ht="12.75" customHeight="1" x14ac:dyDescent="0.3">
      <c r="A1082" s="2" t="s">
        <v>2196</v>
      </c>
      <c r="B1082" s="2" t="s">
        <v>78</v>
      </c>
      <c r="C1082" s="3" t="str">
        <f>HYPERLINK("https://springer.com/11523")</f>
        <v>https://springer.com/11523</v>
      </c>
      <c r="D1082" s="2" t="s">
        <v>2197</v>
      </c>
      <c r="E1082" s="2" t="s">
        <v>141</v>
      </c>
    </row>
    <row r="1083" spans="1:5" ht="12.75" customHeight="1" x14ac:dyDescent="0.3">
      <c r="A1083" s="2" t="s">
        <v>2198</v>
      </c>
      <c r="B1083" s="2" t="s">
        <v>78</v>
      </c>
      <c r="C1083" s="3" t="str">
        <f>HYPERLINK("https://springer.com/11524")</f>
        <v>https://springer.com/11524</v>
      </c>
      <c r="D1083" s="2" t="s">
        <v>2199</v>
      </c>
      <c r="E1083" s="2" t="s">
        <v>8</v>
      </c>
    </row>
    <row r="1084" spans="1:5" ht="12.75" customHeight="1" x14ac:dyDescent="0.3">
      <c r="A1084" s="2" t="s">
        <v>2200</v>
      </c>
      <c r="B1084" s="2" t="s">
        <v>1030</v>
      </c>
      <c r="C1084" s="3" t="str">
        <f>HYPERLINK("https://springer.com/11525")</f>
        <v>https://springer.com/11525</v>
      </c>
      <c r="D1084" s="2" t="s">
        <v>2201</v>
      </c>
      <c r="E1084" s="2" t="s">
        <v>8</v>
      </c>
    </row>
    <row r="1085" spans="1:5" ht="12.75" customHeight="1" x14ac:dyDescent="0.3">
      <c r="A1085" s="2" t="s">
        <v>2202</v>
      </c>
      <c r="B1085" s="2" t="s">
        <v>56</v>
      </c>
      <c r="C1085" s="3" t="str">
        <f>HYPERLINK("https://springer.com/11527")</f>
        <v>https://springer.com/11527</v>
      </c>
      <c r="D1085" s="2" t="s">
        <v>2203</v>
      </c>
      <c r="E1085" s="2" t="s">
        <v>8</v>
      </c>
    </row>
    <row r="1086" spans="1:5" ht="12.75" customHeight="1" x14ac:dyDescent="0.3">
      <c r="A1086" s="2" t="s">
        <v>2204</v>
      </c>
      <c r="B1086" s="2" t="s">
        <v>753</v>
      </c>
      <c r="C1086" s="3" t="str">
        <f>HYPERLINK("https://springer.com/11528")</f>
        <v>https://springer.com/11528</v>
      </c>
      <c r="D1086" s="2" t="s">
        <v>2205</v>
      </c>
      <c r="E1086" s="2" t="s">
        <v>8</v>
      </c>
    </row>
    <row r="1087" spans="1:5" ht="12.75" customHeight="1" x14ac:dyDescent="0.3">
      <c r="A1087" s="2" t="s">
        <v>2206</v>
      </c>
      <c r="B1087" s="2" t="s">
        <v>10</v>
      </c>
      <c r="C1087" s="3" t="str">
        <f>HYPERLINK("https://springer.com/11538")</f>
        <v>https://springer.com/11538</v>
      </c>
      <c r="D1087" s="2" t="s">
        <v>2207</v>
      </c>
      <c r="E1087" s="2" t="s">
        <v>8</v>
      </c>
    </row>
    <row r="1088" spans="1:5" ht="12.75" customHeight="1" x14ac:dyDescent="0.3">
      <c r="A1088" s="2" t="s">
        <v>2208</v>
      </c>
      <c r="B1088" s="2" t="s">
        <v>6</v>
      </c>
      <c r="C1088" s="3" t="str">
        <f>HYPERLINK("https://springer.com/11540")</f>
        <v>https://springer.com/11540</v>
      </c>
      <c r="D1088" s="2" t="s">
        <v>2209</v>
      </c>
      <c r="E1088" s="2" t="s">
        <v>8</v>
      </c>
    </row>
    <row r="1089" spans="1:5" ht="12.75" customHeight="1" x14ac:dyDescent="0.3">
      <c r="A1089" s="2" t="s">
        <v>2210</v>
      </c>
      <c r="B1089" s="2" t="s">
        <v>78</v>
      </c>
      <c r="C1089" s="3" t="str">
        <f>HYPERLINK("https://springer.com/11547")</f>
        <v>https://springer.com/11547</v>
      </c>
      <c r="D1089" s="2" t="s">
        <v>2211</v>
      </c>
      <c r="E1089" s="2" t="s">
        <v>8</v>
      </c>
    </row>
    <row r="1090" spans="1:5" ht="12.75" customHeight="1" x14ac:dyDescent="0.3">
      <c r="A1090" s="2" t="s">
        <v>2212</v>
      </c>
      <c r="B1090" s="2" t="s">
        <v>78</v>
      </c>
      <c r="C1090" s="3" t="str">
        <f>HYPERLINK("https://springer.com/11548")</f>
        <v>https://springer.com/11548</v>
      </c>
      <c r="D1090" s="2" t="s">
        <v>2213</v>
      </c>
      <c r="E1090" s="2" t="s">
        <v>8</v>
      </c>
    </row>
    <row r="1091" spans="1:5" ht="12.75" customHeight="1" x14ac:dyDescent="0.3">
      <c r="A1091" s="2" t="s">
        <v>2214</v>
      </c>
      <c r="B1091" s="2" t="s">
        <v>78</v>
      </c>
      <c r="C1091" s="3" t="str">
        <f>HYPERLINK("https://springer.com/11553")</f>
        <v>https://springer.com/11553</v>
      </c>
      <c r="D1091" s="2" t="s">
        <v>2215</v>
      </c>
      <c r="E1091" s="2" t="s">
        <v>8</v>
      </c>
    </row>
    <row r="1092" spans="1:5" ht="12.75" customHeight="1" x14ac:dyDescent="0.3">
      <c r="A1092" s="2" t="s">
        <v>2216</v>
      </c>
      <c r="B1092" s="2" t="s">
        <v>63</v>
      </c>
      <c r="C1092" s="3" t="str">
        <f>HYPERLINK("https://springer.com/11554")</f>
        <v>https://springer.com/11554</v>
      </c>
      <c r="D1092" s="2" t="s">
        <v>2217</v>
      </c>
      <c r="E1092" s="2" t="s">
        <v>8</v>
      </c>
    </row>
    <row r="1093" spans="1:5" ht="12.75" customHeight="1" x14ac:dyDescent="0.3">
      <c r="A1093" s="2" t="s">
        <v>2218</v>
      </c>
      <c r="B1093" s="2" t="s">
        <v>6</v>
      </c>
      <c r="C1093" s="3" t="str">
        <f>HYPERLINK("https://springer.com/11557")</f>
        <v>https://springer.com/11557</v>
      </c>
      <c r="D1093" s="2" t="s">
        <v>2219</v>
      </c>
      <c r="E1093" s="2" t="s">
        <v>8</v>
      </c>
    </row>
    <row r="1094" spans="1:5" ht="12.75" customHeight="1" x14ac:dyDescent="0.3">
      <c r="A1094" s="2" t="s">
        <v>2220</v>
      </c>
      <c r="B1094" s="2" t="s">
        <v>794</v>
      </c>
      <c r="C1094" s="3" t="str">
        <f>HYPERLINK("https://springer.com/11558")</f>
        <v>https://springer.com/11558</v>
      </c>
      <c r="D1094" s="2" t="s">
        <v>2221</v>
      </c>
      <c r="E1094" s="2" t="s">
        <v>8</v>
      </c>
    </row>
    <row r="1095" spans="1:5" ht="12.75" customHeight="1" x14ac:dyDescent="0.3">
      <c r="A1095" s="2" t="s">
        <v>2222</v>
      </c>
      <c r="B1095" s="2" t="s">
        <v>78</v>
      </c>
      <c r="C1095" s="3" t="str">
        <f>HYPERLINK("https://springer.com/11560")</f>
        <v>https://springer.com/11560</v>
      </c>
      <c r="D1095" s="2" t="s">
        <v>2223</v>
      </c>
      <c r="E1095" s="2" t="s">
        <v>8</v>
      </c>
    </row>
    <row r="1096" spans="1:5" ht="12.75" customHeight="1" x14ac:dyDescent="0.3">
      <c r="A1096" s="2" t="s">
        <v>2224</v>
      </c>
      <c r="B1096" s="2" t="s">
        <v>794</v>
      </c>
      <c r="C1096" s="3" t="str">
        <f>HYPERLINK("https://springer.com/11562")</f>
        <v>https://springer.com/11562</v>
      </c>
      <c r="D1096" s="2" t="s">
        <v>2225</v>
      </c>
      <c r="E1096" s="2" t="s">
        <v>8</v>
      </c>
    </row>
    <row r="1097" spans="1:5" ht="12.75" customHeight="1" x14ac:dyDescent="0.3">
      <c r="A1097" s="2" t="s">
        <v>2226</v>
      </c>
      <c r="B1097" s="2" t="s">
        <v>10</v>
      </c>
      <c r="C1097" s="3" t="str">
        <f>HYPERLINK("https://springer.com/11565")</f>
        <v>https://springer.com/11565</v>
      </c>
      <c r="D1097" s="2" t="s">
        <v>2227</v>
      </c>
      <c r="E1097" s="2" t="s">
        <v>8</v>
      </c>
    </row>
    <row r="1098" spans="1:5" ht="12.75" customHeight="1" x14ac:dyDescent="0.3">
      <c r="A1098" s="2" t="s">
        <v>2228</v>
      </c>
      <c r="B1098" s="2" t="s">
        <v>20</v>
      </c>
      <c r="C1098" s="3" t="str">
        <f>HYPERLINK("https://springer.com/11571")</f>
        <v>https://springer.com/11571</v>
      </c>
      <c r="D1098" s="2" t="s">
        <v>2229</v>
      </c>
      <c r="E1098" s="2" t="s">
        <v>8</v>
      </c>
    </row>
    <row r="1099" spans="1:5" ht="12.75" customHeight="1" x14ac:dyDescent="0.3">
      <c r="A1099" s="2" t="s">
        <v>2230</v>
      </c>
      <c r="B1099" s="2" t="s">
        <v>347</v>
      </c>
      <c r="C1099" s="3" t="str">
        <f>HYPERLINK("https://springer.com/11572")</f>
        <v>https://springer.com/11572</v>
      </c>
      <c r="D1099" s="2" t="s">
        <v>2231</v>
      </c>
      <c r="E1099" s="2" t="s">
        <v>8</v>
      </c>
    </row>
    <row r="1100" spans="1:5" ht="12.75" customHeight="1" x14ac:dyDescent="0.3">
      <c r="A1100" s="2" t="s">
        <v>2232</v>
      </c>
      <c r="B1100" s="2" t="s">
        <v>181</v>
      </c>
      <c r="C1100" s="3" t="str">
        <f>HYPERLINK("https://springer.com/11573")</f>
        <v>https://springer.com/11573</v>
      </c>
      <c r="D1100" s="2" t="s">
        <v>2233</v>
      </c>
      <c r="E1100" s="2" t="s">
        <v>8</v>
      </c>
    </row>
    <row r="1101" spans="1:5" ht="12.75" customHeight="1" x14ac:dyDescent="0.3">
      <c r="A1101" s="2" t="s">
        <v>2234</v>
      </c>
      <c r="B1101" s="2" t="s">
        <v>181</v>
      </c>
      <c r="C1101" s="3" t="str">
        <f>HYPERLINK("https://springer.com/11575")</f>
        <v>https://springer.com/11575</v>
      </c>
      <c r="D1101" s="2" t="s">
        <v>2235</v>
      </c>
      <c r="E1101" s="2" t="s">
        <v>8</v>
      </c>
    </row>
    <row r="1102" spans="1:5" ht="12.75" customHeight="1" x14ac:dyDescent="0.3">
      <c r="A1102" s="2" t="s">
        <v>2236</v>
      </c>
      <c r="B1102" s="2" t="s">
        <v>794</v>
      </c>
      <c r="C1102" s="3" t="str">
        <f>HYPERLINK("https://springer.com/11577")</f>
        <v>https://springer.com/11577</v>
      </c>
      <c r="D1102" s="2" t="s">
        <v>2237</v>
      </c>
      <c r="E1102" s="2" t="s">
        <v>8</v>
      </c>
    </row>
    <row r="1103" spans="1:5" ht="12.75" customHeight="1" x14ac:dyDescent="0.3">
      <c r="A1103" s="2" t="s">
        <v>2238</v>
      </c>
      <c r="B1103" s="2" t="s">
        <v>10</v>
      </c>
      <c r="C1103" s="3" t="str">
        <f>HYPERLINK("https://springer.com/11579")</f>
        <v>https://springer.com/11579</v>
      </c>
      <c r="D1103" s="2" t="s">
        <v>2239</v>
      </c>
      <c r="E1103" s="2" t="s">
        <v>8</v>
      </c>
    </row>
    <row r="1104" spans="1:5" ht="12.75" customHeight="1" x14ac:dyDescent="0.3">
      <c r="A1104" s="2" t="s">
        <v>2240</v>
      </c>
      <c r="B1104" s="2" t="s">
        <v>218</v>
      </c>
      <c r="C1104" s="3" t="str">
        <f>HYPERLINK("https://springer.com/11581")</f>
        <v>https://springer.com/11581</v>
      </c>
      <c r="D1104" s="2" t="s">
        <v>2241</v>
      </c>
      <c r="E1104" s="2" t="s">
        <v>8</v>
      </c>
    </row>
    <row r="1105" spans="1:5" ht="12.75" customHeight="1" x14ac:dyDescent="0.3">
      <c r="A1105" s="2" t="s">
        <v>2242</v>
      </c>
      <c r="B1105" s="2" t="s">
        <v>56</v>
      </c>
      <c r="C1105" s="3" t="str">
        <f>HYPERLINK("https://springer.com/11582")</f>
        <v>https://springer.com/11582</v>
      </c>
      <c r="D1105" s="2" t="s">
        <v>2243</v>
      </c>
      <c r="E1105" s="2" t="s">
        <v>8</v>
      </c>
    </row>
    <row r="1106" spans="1:5" ht="12.75" customHeight="1" x14ac:dyDescent="0.3">
      <c r="A1106" s="2" t="s">
        <v>2244</v>
      </c>
      <c r="B1106" s="2" t="s">
        <v>20</v>
      </c>
      <c r="C1106" s="3" t="str">
        <f>HYPERLINK("https://springer.com/11585")</f>
        <v>https://springer.com/11585</v>
      </c>
      <c r="D1106" s="2" t="s">
        <v>2245</v>
      </c>
      <c r="E1106" s="2" t="s">
        <v>8</v>
      </c>
    </row>
    <row r="1107" spans="1:5" ht="12.75" customHeight="1" x14ac:dyDescent="0.3">
      <c r="A1107" s="2" t="s">
        <v>2246</v>
      </c>
      <c r="B1107" s="2" t="s">
        <v>10</v>
      </c>
      <c r="C1107" s="3" t="str">
        <f>HYPERLINK("https://springer.com/11587")</f>
        <v>https://springer.com/11587</v>
      </c>
      <c r="D1107" s="2" t="s">
        <v>2247</v>
      </c>
      <c r="E1107" s="2" t="s">
        <v>8</v>
      </c>
    </row>
    <row r="1108" spans="1:5" ht="12.75" customHeight="1" x14ac:dyDescent="0.3">
      <c r="A1108" s="2" t="s">
        <v>2248</v>
      </c>
      <c r="B1108" s="2" t="s">
        <v>10</v>
      </c>
      <c r="C1108" s="3" t="str">
        <f>HYPERLINK("https://springer.com/11590")</f>
        <v>https://springer.com/11590</v>
      </c>
      <c r="D1108" s="2" t="s">
        <v>2249</v>
      </c>
      <c r="E1108" s="2" t="s">
        <v>8</v>
      </c>
    </row>
    <row r="1109" spans="1:5" ht="12.75" customHeight="1" x14ac:dyDescent="0.3">
      <c r="A1109" s="2" t="s">
        <v>2250</v>
      </c>
      <c r="B1109" s="2" t="s">
        <v>396</v>
      </c>
      <c r="C1109" s="3" t="str">
        <f>HYPERLINK("https://springer.com/11595")</f>
        <v>https://springer.com/11595</v>
      </c>
      <c r="D1109" s="2" t="s">
        <v>2251</v>
      </c>
      <c r="E1109" s="2" t="s">
        <v>8</v>
      </c>
    </row>
    <row r="1110" spans="1:5" ht="12.75" customHeight="1" x14ac:dyDescent="0.3">
      <c r="A1110" s="2" t="s">
        <v>2252</v>
      </c>
      <c r="B1110" s="2" t="s">
        <v>78</v>
      </c>
      <c r="C1110" s="3" t="str">
        <f>HYPERLINK("https://springer.com/11596")</f>
        <v>https://springer.com/11596</v>
      </c>
      <c r="D1110" s="2" t="s">
        <v>2253</v>
      </c>
      <c r="E1110" s="2" t="s">
        <v>8</v>
      </c>
    </row>
    <row r="1111" spans="1:5" ht="12.75" customHeight="1" x14ac:dyDescent="0.3">
      <c r="A1111" s="2" t="s">
        <v>2254</v>
      </c>
      <c r="B1111" s="2" t="s">
        <v>26</v>
      </c>
      <c r="C1111" s="3" t="str">
        <f>HYPERLINK("https://springer.com/11600")</f>
        <v>https://springer.com/11600</v>
      </c>
      <c r="D1111" s="2" t="s">
        <v>2255</v>
      </c>
      <c r="E1111" s="2" t="s">
        <v>8</v>
      </c>
    </row>
    <row r="1112" spans="1:5" ht="12.75" customHeight="1" x14ac:dyDescent="0.3">
      <c r="A1112" s="2" t="s">
        <v>2256</v>
      </c>
      <c r="B1112" s="2" t="s">
        <v>78</v>
      </c>
      <c r="C1112" s="3" t="str">
        <f>HYPERLINK("https://springer.com/11604")</f>
        <v>https://springer.com/11604</v>
      </c>
      <c r="D1112" s="2" t="s">
        <v>2257</v>
      </c>
      <c r="E1112" s="2" t="s">
        <v>8</v>
      </c>
    </row>
    <row r="1113" spans="1:5" ht="12.75" customHeight="1" x14ac:dyDescent="0.3">
      <c r="A1113" s="2" t="s">
        <v>2258</v>
      </c>
      <c r="B1113" s="2" t="s">
        <v>78</v>
      </c>
      <c r="C1113" s="3" t="str">
        <f>HYPERLINK("https://springer.com/11606")</f>
        <v>https://springer.com/11606</v>
      </c>
      <c r="D1113" s="2" t="s">
        <v>2259</v>
      </c>
      <c r="E1113" s="2" t="s">
        <v>8</v>
      </c>
    </row>
    <row r="1114" spans="1:5" ht="12.75" customHeight="1" x14ac:dyDescent="0.3">
      <c r="A1114" s="2" t="s">
        <v>2260</v>
      </c>
      <c r="B1114" s="2" t="s">
        <v>794</v>
      </c>
      <c r="C1114" s="3" t="str">
        <f>HYPERLINK("https://springer.com/11609")</f>
        <v>https://springer.com/11609</v>
      </c>
      <c r="D1114" s="2" t="s">
        <v>2261</v>
      </c>
      <c r="E1114" s="2" t="s">
        <v>8</v>
      </c>
    </row>
    <row r="1115" spans="1:5" ht="12.75" customHeight="1" x14ac:dyDescent="0.3">
      <c r="A1115" s="2" t="s">
        <v>2262</v>
      </c>
      <c r="B1115" s="2" t="s">
        <v>443</v>
      </c>
      <c r="C1115" s="3" t="str">
        <f>HYPERLINK("https://springer.com/11612")</f>
        <v>https://springer.com/11612</v>
      </c>
      <c r="D1115" s="2" t="s">
        <v>2263</v>
      </c>
      <c r="E1115" s="2" t="s">
        <v>8</v>
      </c>
    </row>
    <row r="1116" spans="1:5" ht="12.75" customHeight="1" x14ac:dyDescent="0.3">
      <c r="A1116" s="2" t="s">
        <v>2264</v>
      </c>
      <c r="B1116" s="2" t="s">
        <v>443</v>
      </c>
      <c r="C1116" s="3" t="str">
        <f>HYPERLINK("https://springer.com/11613")</f>
        <v>https://springer.com/11613</v>
      </c>
      <c r="D1116" s="2" t="s">
        <v>2265</v>
      </c>
      <c r="E1116" s="2" t="s">
        <v>8</v>
      </c>
    </row>
    <row r="1117" spans="1:5" ht="12.75" customHeight="1" x14ac:dyDescent="0.3">
      <c r="A1117" s="2" t="s">
        <v>2266</v>
      </c>
      <c r="B1117" s="2" t="s">
        <v>794</v>
      </c>
      <c r="C1117" s="3" t="str">
        <f>HYPERLINK("https://springer.com/11614")</f>
        <v>https://springer.com/11614</v>
      </c>
      <c r="D1117" s="2" t="s">
        <v>2267</v>
      </c>
      <c r="E1117" s="2" t="s">
        <v>8</v>
      </c>
    </row>
    <row r="1118" spans="1:5" ht="12.75" customHeight="1" x14ac:dyDescent="0.3">
      <c r="A1118" s="2" t="s">
        <v>2268</v>
      </c>
      <c r="B1118" s="2" t="s">
        <v>1063</v>
      </c>
      <c r="C1118" s="3" t="str">
        <f>HYPERLINK("https://springer.com/11615")</f>
        <v>https://springer.com/11615</v>
      </c>
      <c r="D1118" s="2" t="s">
        <v>2269</v>
      </c>
      <c r="E1118" s="2" t="s">
        <v>8</v>
      </c>
    </row>
    <row r="1119" spans="1:5" ht="12.75" customHeight="1" x14ac:dyDescent="0.3">
      <c r="A1119" s="2" t="s">
        <v>2270</v>
      </c>
      <c r="B1119" s="2" t="s">
        <v>794</v>
      </c>
      <c r="C1119" s="3" t="str">
        <f>HYPERLINK("https://springer.com/11616")</f>
        <v>https://springer.com/11616</v>
      </c>
      <c r="D1119" s="2" t="s">
        <v>2271</v>
      </c>
      <c r="E1119" s="2" t="s">
        <v>8</v>
      </c>
    </row>
    <row r="1120" spans="1:5" ht="12.75" customHeight="1" x14ac:dyDescent="0.3">
      <c r="A1120" s="2" t="s">
        <v>2272</v>
      </c>
      <c r="B1120" s="2" t="s">
        <v>753</v>
      </c>
      <c r="C1120" s="3" t="str">
        <f>HYPERLINK("https://springer.com/11618")</f>
        <v>https://springer.com/11618</v>
      </c>
      <c r="D1120" s="2" t="s">
        <v>2273</v>
      </c>
      <c r="E1120" s="2" t="s">
        <v>8</v>
      </c>
    </row>
    <row r="1121" spans="1:5" ht="12.75" customHeight="1" x14ac:dyDescent="0.3">
      <c r="A1121" s="2" t="s">
        <v>2274</v>
      </c>
      <c r="B1121" s="2" t="s">
        <v>443</v>
      </c>
      <c r="C1121" s="3" t="str">
        <f>HYPERLINK("https://springer.com/11620")</f>
        <v>https://springer.com/11620</v>
      </c>
      <c r="D1121" s="2" t="s">
        <v>2275</v>
      </c>
      <c r="E1121" s="2" t="s">
        <v>8</v>
      </c>
    </row>
    <row r="1122" spans="1:5" ht="12.75" customHeight="1" x14ac:dyDescent="0.3">
      <c r="A1122" s="2" t="s">
        <v>2276</v>
      </c>
      <c r="B1122" s="2" t="s">
        <v>63</v>
      </c>
      <c r="C1122" s="3" t="str">
        <f>HYPERLINK("https://springer.com/11623")</f>
        <v>https://springer.com/11623</v>
      </c>
      <c r="D1122" s="2" t="s">
        <v>2277</v>
      </c>
      <c r="E1122" s="2" t="s">
        <v>8</v>
      </c>
    </row>
    <row r="1123" spans="1:5" ht="12.75" customHeight="1" x14ac:dyDescent="0.3">
      <c r="A1123" s="2" t="s">
        <v>2278</v>
      </c>
      <c r="B1123" s="2" t="s">
        <v>133</v>
      </c>
      <c r="C1123" s="3" t="str">
        <f>HYPERLINK("https://springer.com/11625")</f>
        <v>https://springer.com/11625</v>
      </c>
      <c r="D1123" s="2" t="s">
        <v>2279</v>
      </c>
      <c r="E1123" s="2" t="s">
        <v>8</v>
      </c>
    </row>
    <row r="1124" spans="1:5" ht="12.75" customHeight="1" x14ac:dyDescent="0.3">
      <c r="A1124" s="2" t="s">
        <v>2280</v>
      </c>
      <c r="B1124" s="2" t="s">
        <v>6</v>
      </c>
      <c r="C1124" s="3" t="str">
        <f>HYPERLINK("https://springer.com/11626")</f>
        <v>https://springer.com/11626</v>
      </c>
      <c r="D1124" s="2" t="s">
        <v>2281</v>
      </c>
      <c r="E1124" s="2" t="s">
        <v>8</v>
      </c>
    </row>
    <row r="1125" spans="1:5" ht="12.75" customHeight="1" x14ac:dyDescent="0.3">
      <c r="A1125" s="2" t="s">
        <v>2282</v>
      </c>
      <c r="B1125" s="2" t="s">
        <v>6</v>
      </c>
      <c r="C1125" s="3" t="str">
        <f>HYPERLINK("https://springer.com/11627")</f>
        <v>https://springer.com/11627</v>
      </c>
      <c r="D1125" s="2" t="s">
        <v>2283</v>
      </c>
      <c r="E1125" s="2" t="s">
        <v>8</v>
      </c>
    </row>
    <row r="1126" spans="1:5" ht="12.75" customHeight="1" x14ac:dyDescent="0.3">
      <c r="A1126" s="2" t="s">
        <v>2284</v>
      </c>
      <c r="B1126" s="2" t="s">
        <v>181</v>
      </c>
      <c r="C1126" s="3" t="str">
        <f>HYPERLINK("https://springer.com/11628")</f>
        <v>https://springer.com/11628</v>
      </c>
      <c r="D1126" s="2" t="s">
        <v>2285</v>
      </c>
      <c r="E1126" s="2" t="s">
        <v>8</v>
      </c>
    </row>
    <row r="1127" spans="1:5" ht="12.75" customHeight="1" x14ac:dyDescent="0.3">
      <c r="A1127" s="2" t="s">
        <v>2286</v>
      </c>
      <c r="B1127" s="2" t="s">
        <v>26</v>
      </c>
      <c r="C1127" s="3" t="str">
        <f>HYPERLINK("https://springer.com/11629")</f>
        <v>https://springer.com/11629</v>
      </c>
      <c r="D1127" s="2" t="s">
        <v>2287</v>
      </c>
      <c r="E1127" s="2" t="s">
        <v>8</v>
      </c>
    </row>
    <row r="1128" spans="1:5" ht="12.75" customHeight="1" x14ac:dyDescent="0.3">
      <c r="A1128" s="2" t="s">
        <v>2288</v>
      </c>
      <c r="B1128" s="2" t="s">
        <v>13</v>
      </c>
      <c r="C1128" s="3" t="str">
        <f>HYPERLINK("https://springer.com/11630")</f>
        <v>https://springer.com/11630</v>
      </c>
      <c r="D1128" s="2" t="s">
        <v>2289</v>
      </c>
      <c r="E1128" s="2" t="s">
        <v>8</v>
      </c>
    </row>
    <row r="1129" spans="1:5" ht="12.75" customHeight="1" x14ac:dyDescent="0.3">
      <c r="A1129" s="2" t="s">
        <v>2290</v>
      </c>
      <c r="B1129" s="2" t="s">
        <v>26</v>
      </c>
      <c r="C1129" s="3" t="str">
        <f>HYPERLINK("https://springer.com/11631")</f>
        <v>https://springer.com/11631</v>
      </c>
      <c r="D1129" s="2" t="s">
        <v>2291</v>
      </c>
      <c r="E1129" s="2" t="s">
        <v>8</v>
      </c>
    </row>
    <row r="1130" spans="1:5" ht="12.75" customHeight="1" x14ac:dyDescent="0.3">
      <c r="A1130" s="2" t="s">
        <v>2292</v>
      </c>
      <c r="B1130" s="2" t="s">
        <v>63</v>
      </c>
      <c r="C1130" s="3" t="str">
        <f>HYPERLINK("https://springer.com/11633")</f>
        <v>https://springer.com/11633</v>
      </c>
      <c r="D1130" s="2" t="s">
        <v>2293</v>
      </c>
      <c r="E1130" s="2" t="s">
        <v>8</v>
      </c>
    </row>
    <row r="1131" spans="1:5" ht="12.75" customHeight="1" x14ac:dyDescent="0.3">
      <c r="A1131" s="2" t="s">
        <v>2294</v>
      </c>
      <c r="B1131" s="2" t="s">
        <v>170</v>
      </c>
      <c r="C1131" s="3" t="str">
        <f>HYPERLINK("https://springer.com/11634")</f>
        <v>https://springer.com/11634</v>
      </c>
      <c r="D1131" s="2" t="s">
        <v>2295</v>
      </c>
      <c r="E1131" s="2" t="s">
        <v>8</v>
      </c>
    </row>
    <row r="1132" spans="1:5" ht="12.75" customHeight="1" x14ac:dyDescent="0.3">
      <c r="A1132" s="2" t="s">
        <v>2296</v>
      </c>
      <c r="B1132" s="2" t="s">
        <v>78</v>
      </c>
      <c r="C1132" s="3" t="str">
        <f>HYPERLINK("https://springer.com/11655")</f>
        <v>https://springer.com/11655</v>
      </c>
      <c r="D1132" s="2" t="s">
        <v>2297</v>
      </c>
      <c r="E1132" s="2" t="s">
        <v>8</v>
      </c>
    </row>
    <row r="1133" spans="1:5" ht="12.75" customHeight="1" x14ac:dyDescent="0.3">
      <c r="A1133" s="2" t="s">
        <v>2298</v>
      </c>
      <c r="B1133" s="2" t="s">
        <v>78</v>
      </c>
      <c r="C1133" s="3" t="str">
        <f>HYPERLINK("https://springer.com/11657")</f>
        <v>https://springer.com/11657</v>
      </c>
      <c r="D1133" s="2" t="s">
        <v>2299</v>
      </c>
      <c r="E1133" s="2" t="s">
        <v>8</v>
      </c>
    </row>
    <row r="1134" spans="1:5" ht="12.75" customHeight="1" x14ac:dyDescent="0.3">
      <c r="A1134" s="2" t="s">
        <v>2300</v>
      </c>
      <c r="B1134" s="2" t="s">
        <v>396</v>
      </c>
      <c r="C1134" s="3" t="str">
        <f>HYPERLINK("https://springer.com/11661")</f>
        <v>https://springer.com/11661</v>
      </c>
      <c r="D1134" s="2" t="s">
        <v>2301</v>
      </c>
      <c r="E1134" s="2" t="s">
        <v>8</v>
      </c>
    </row>
    <row r="1135" spans="1:5" ht="12.75" customHeight="1" x14ac:dyDescent="0.3">
      <c r="A1135" s="2" t="s">
        <v>2302</v>
      </c>
      <c r="B1135" s="2" t="s">
        <v>396</v>
      </c>
      <c r="C1135" s="3" t="str">
        <f>HYPERLINK("https://springer.com/11663")</f>
        <v>https://springer.com/11663</v>
      </c>
      <c r="D1135" s="2" t="s">
        <v>2303</v>
      </c>
      <c r="E1135" s="2" t="s">
        <v>8</v>
      </c>
    </row>
    <row r="1136" spans="1:5" ht="12.75" customHeight="1" x14ac:dyDescent="0.3">
      <c r="A1136" s="2" t="s">
        <v>2304</v>
      </c>
      <c r="B1136" s="2" t="s">
        <v>396</v>
      </c>
      <c r="C1136" s="3" t="str">
        <f>HYPERLINK("https://springer.com/11664")</f>
        <v>https://springer.com/11664</v>
      </c>
      <c r="D1136" s="2" t="s">
        <v>2305</v>
      </c>
      <c r="E1136" s="2" t="s">
        <v>8</v>
      </c>
    </row>
    <row r="1137" spans="1:5" ht="12.75" customHeight="1" x14ac:dyDescent="0.3">
      <c r="A1137" s="2" t="s">
        <v>2306</v>
      </c>
      <c r="B1137" s="2" t="s">
        <v>396</v>
      </c>
      <c r="C1137" s="3" t="str">
        <f>HYPERLINK("https://springer.com/11665")</f>
        <v>https://springer.com/11665</v>
      </c>
      <c r="D1137" s="2" t="s">
        <v>2307</v>
      </c>
      <c r="E1137" s="2" t="s">
        <v>8</v>
      </c>
    </row>
    <row r="1138" spans="1:5" ht="12.75" customHeight="1" x14ac:dyDescent="0.3">
      <c r="A1138" s="2" t="s">
        <v>2308</v>
      </c>
      <c r="B1138" s="2" t="s">
        <v>396</v>
      </c>
      <c r="C1138" s="3" t="str">
        <f>HYPERLINK("https://springer.com/11666")</f>
        <v>https://springer.com/11666</v>
      </c>
      <c r="D1138" s="2" t="s">
        <v>2309</v>
      </c>
      <c r="E1138" s="2" t="s">
        <v>8</v>
      </c>
    </row>
    <row r="1139" spans="1:5" ht="12.75" customHeight="1" x14ac:dyDescent="0.3">
      <c r="A1139" s="2" t="s">
        <v>2310</v>
      </c>
      <c r="B1139" s="2" t="s">
        <v>396</v>
      </c>
      <c r="C1139" s="3" t="str">
        <f>HYPERLINK("https://springer.com/11668")</f>
        <v>https://springer.com/11668</v>
      </c>
      <c r="D1139" s="2" t="s">
        <v>2311</v>
      </c>
      <c r="E1139" s="2" t="s">
        <v>8</v>
      </c>
    </row>
    <row r="1140" spans="1:5" ht="12.75" customHeight="1" x14ac:dyDescent="0.3">
      <c r="A1140" s="2" t="s">
        <v>2312</v>
      </c>
      <c r="B1140" s="2" t="s">
        <v>13</v>
      </c>
      <c r="C1140" s="3" t="str">
        <f>HYPERLINK("https://springer.com/11669")</f>
        <v>https://springer.com/11669</v>
      </c>
      <c r="D1140" s="2" t="s">
        <v>2313</v>
      </c>
      <c r="E1140" s="2" t="s">
        <v>8</v>
      </c>
    </row>
    <row r="1141" spans="1:5" ht="12.75" customHeight="1" x14ac:dyDescent="0.3">
      <c r="A1141" s="2" t="s">
        <v>2314</v>
      </c>
      <c r="B1141" s="2" t="s">
        <v>78</v>
      </c>
      <c r="C1141" s="3" t="str">
        <f>HYPERLINK("https://springer.com/11673")</f>
        <v>https://springer.com/11673</v>
      </c>
      <c r="D1141" s="2" t="s">
        <v>2315</v>
      </c>
      <c r="E1141" s="2" t="s">
        <v>8</v>
      </c>
    </row>
    <row r="1142" spans="1:5" ht="12.75" customHeight="1" x14ac:dyDescent="0.3">
      <c r="A1142" s="2" t="s">
        <v>2316</v>
      </c>
      <c r="B1142" s="2" t="s">
        <v>6</v>
      </c>
      <c r="C1142" s="3" t="str">
        <f>HYPERLINK("https://springer.com/11676")</f>
        <v>https://springer.com/11676</v>
      </c>
      <c r="D1142" s="2" t="s">
        <v>2317</v>
      </c>
      <c r="E1142" s="2" t="s">
        <v>8</v>
      </c>
    </row>
    <row r="1143" spans="1:5" ht="12.75" customHeight="1" x14ac:dyDescent="0.3">
      <c r="A1143" s="2" t="s">
        <v>2318</v>
      </c>
      <c r="B1143" s="2" t="s">
        <v>78</v>
      </c>
      <c r="C1143" s="3" t="str">
        <f>HYPERLINK("https://springer.com/11678")</f>
        <v>https://springer.com/11678</v>
      </c>
      <c r="D1143" s="2" t="s">
        <v>2319</v>
      </c>
      <c r="E1143" s="2" t="s">
        <v>8</v>
      </c>
    </row>
    <row r="1144" spans="1:5" ht="12.75" customHeight="1" x14ac:dyDescent="0.3">
      <c r="A1144" s="2" t="s">
        <v>2320</v>
      </c>
      <c r="B1144" s="2" t="s">
        <v>20</v>
      </c>
      <c r="C1144" s="3" t="str">
        <f>HYPERLINK("https://springer.com/11682")</f>
        <v>https://springer.com/11682</v>
      </c>
      <c r="D1144" s="2" t="s">
        <v>2321</v>
      </c>
      <c r="E1144" s="2" t="s">
        <v>8</v>
      </c>
    </row>
    <row r="1145" spans="1:5" ht="12.75" customHeight="1" x14ac:dyDescent="0.3">
      <c r="A1145" s="2" t="s">
        <v>2322</v>
      </c>
      <c r="B1145" s="2" t="s">
        <v>78</v>
      </c>
      <c r="C1145" s="3" t="str">
        <f>HYPERLINK("https://springer.com/11684")</f>
        <v>https://springer.com/11684</v>
      </c>
      <c r="D1145" s="2" t="s">
        <v>2323</v>
      </c>
      <c r="E1145" s="2" t="s">
        <v>8</v>
      </c>
    </row>
    <row r="1146" spans="1:5" ht="12.75" customHeight="1" x14ac:dyDescent="0.3">
      <c r="A1146" s="2" t="s">
        <v>2324</v>
      </c>
      <c r="B1146" s="2" t="s">
        <v>20</v>
      </c>
      <c r="C1146" s="3" t="str">
        <f>HYPERLINK("https://springer.com/11686")</f>
        <v>https://springer.com/11686</v>
      </c>
      <c r="D1146" s="2" t="s">
        <v>2325</v>
      </c>
      <c r="E1146" s="2" t="s">
        <v>8</v>
      </c>
    </row>
    <row r="1147" spans="1:5" ht="12.75" customHeight="1" x14ac:dyDescent="0.3">
      <c r="A1147" s="2" t="s">
        <v>2326</v>
      </c>
      <c r="B1147" s="2" t="s">
        <v>6</v>
      </c>
      <c r="C1147" s="3" t="str">
        <f>HYPERLINK("https://springer.com/11692")</f>
        <v>https://springer.com/11692</v>
      </c>
      <c r="D1147" s="2" t="s">
        <v>2327</v>
      </c>
      <c r="E1147" s="2" t="s">
        <v>8</v>
      </c>
    </row>
    <row r="1148" spans="1:5" ht="12.75" customHeight="1" x14ac:dyDescent="0.3">
      <c r="A1148" s="2" t="s">
        <v>2328</v>
      </c>
      <c r="B1148" s="2" t="s">
        <v>218</v>
      </c>
      <c r="C1148" s="3" t="str">
        <f>HYPERLINK("https://springer.com/11694")</f>
        <v>https://springer.com/11694</v>
      </c>
      <c r="D1148" s="2" t="s">
        <v>2329</v>
      </c>
      <c r="E1148" s="2" t="s">
        <v>8</v>
      </c>
    </row>
    <row r="1149" spans="1:5" ht="12.75" customHeight="1" x14ac:dyDescent="0.3">
      <c r="A1149" s="2" t="s">
        <v>2330</v>
      </c>
      <c r="B1149" s="2" t="s">
        <v>78</v>
      </c>
      <c r="C1149" s="3" t="str">
        <f>HYPERLINK("https://springer.com/11695")</f>
        <v>https://springer.com/11695</v>
      </c>
      <c r="D1149" s="2" t="s">
        <v>2331</v>
      </c>
      <c r="E1149" s="2" t="s">
        <v>8</v>
      </c>
    </row>
    <row r="1150" spans="1:5" ht="12.75" customHeight="1" x14ac:dyDescent="0.3">
      <c r="A1150" s="2" t="s">
        <v>2332</v>
      </c>
      <c r="B1150" s="2" t="s">
        <v>218</v>
      </c>
      <c r="C1150" s="3" t="str">
        <f>HYPERLINK("https://springer.com/11696")</f>
        <v>https://springer.com/11696</v>
      </c>
      <c r="D1150" s="2" t="s">
        <v>2333</v>
      </c>
      <c r="E1150" s="2" t="s">
        <v>8</v>
      </c>
    </row>
    <row r="1151" spans="1:5" ht="12.75" customHeight="1" x14ac:dyDescent="0.3">
      <c r="A1151" s="2" t="s">
        <v>2334</v>
      </c>
      <c r="B1151" s="2" t="s">
        <v>151</v>
      </c>
      <c r="C1151" s="3" t="str">
        <f>HYPERLINK("https://springer.com/11698")</f>
        <v>https://springer.com/11698</v>
      </c>
      <c r="D1151" s="2" t="s">
        <v>2335</v>
      </c>
      <c r="E1151" s="2" t="s">
        <v>8</v>
      </c>
    </row>
    <row r="1152" spans="1:5" ht="12.75" customHeight="1" x14ac:dyDescent="0.3">
      <c r="A1152" s="2" t="s">
        <v>2336</v>
      </c>
      <c r="B1152" s="2" t="s">
        <v>396</v>
      </c>
      <c r="C1152" s="3" t="str">
        <f>HYPERLINK("https://springer.com/11700")</f>
        <v>https://springer.com/11700</v>
      </c>
      <c r="D1152" s="2" t="s">
        <v>2337</v>
      </c>
      <c r="E1152" s="2"/>
    </row>
    <row r="1153" spans="1:5" ht="12.75" customHeight="1" x14ac:dyDescent="0.3">
      <c r="A1153" s="2" t="s">
        <v>2338</v>
      </c>
      <c r="B1153" s="2" t="s">
        <v>78</v>
      </c>
      <c r="C1153" s="3" t="str">
        <f>HYPERLINK("https://springer.com/11701")</f>
        <v>https://springer.com/11701</v>
      </c>
      <c r="D1153" s="2" t="s">
        <v>2339</v>
      </c>
      <c r="E1153" s="2" t="s">
        <v>8</v>
      </c>
    </row>
    <row r="1154" spans="1:5" ht="12.75" customHeight="1" x14ac:dyDescent="0.3">
      <c r="A1154" s="2" t="s">
        <v>2340</v>
      </c>
      <c r="B1154" s="2" t="s">
        <v>63</v>
      </c>
      <c r="C1154" s="3" t="str">
        <f>HYPERLINK("https://springer.com/11704")</f>
        <v>https://springer.com/11704</v>
      </c>
      <c r="D1154" s="2" t="s">
        <v>2341</v>
      </c>
      <c r="E1154" s="2" t="s">
        <v>8</v>
      </c>
    </row>
    <row r="1155" spans="1:5" ht="12.75" customHeight="1" x14ac:dyDescent="0.3">
      <c r="A1155" s="2" t="s">
        <v>2342</v>
      </c>
      <c r="B1155" s="2" t="s">
        <v>218</v>
      </c>
      <c r="C1155" s="3" t="str">
        <f>HYPERLINK("https://springer.com/11705")</f>
        <v>https://springer.com/11705</v>
      </c>
      <c r="D1155" s="2" t="s">
        <v>2343</v>
      </c>
      <c r="E1155" s="2" t="s">
        <v>8</v>
      </c>
    </row>
    <row r="1156" spans="1:5" ht="12.75" customHeight="1" x14ac:dyDescent="0.3">
      <c r="A1156" s="2" t="s">
        <v>2344</v>
      </c>
      <c r="B1156" s="2" t="s">
        <v>396</v>
      </c>
      <c r="C1156" s="3" t="str">
        <f>HYPERLINK("https://springer.com/11706")</f>
        <v>https://springer.com/11706</v>
      </c>
      <c r="D1156" s="2" t="s">
        <v>2345</v>
      </c>
      <c r="E1156" s="2" t="s">
        <v>8</v>
      </c>
    </row>
    <row r="1157" spans="1:5" ht="12.75" customHeight="1" x14ac:dyDescent="0.3">
      <c r="A1157" s="2" t="s">
        <v>2346</v>
      </c>
      <c r="B1157" s="2" t="s">
        <v>26</v>
      </c>
      <c r="C1157" s="3" t="str">
        <f>HYPERLINK("https://springer.com/11707")</f>
        <v>https://springer.com/11707</v>
      </c>
      <c r="D1157" s="2" t="s">
        <v>2347</v>
      </c>
      <c r="E1157" s="2" t="s">
        <v>8</v>
      </c>
    </row>
    <row r="1158" spans="1:5" ht="12.75" customHeight="1" x14ac:dyDescent="0.3">
      <c r="A1158" s="2" t="s">
        <v>2348</v>
      </c>
      <c r="B1158" s="2" t="s">
        <v>1272</v>
      </c>
      <c r="C1158" s="3" t="str">
        <f>HYPERLINK("https://springer.com/11708")</f>
        <v>https://springer.com/11708</v>
      </c>
      <c r="D1158" s="2" t="s">
        <v>2349</v>
      </c>
      <c r="E1158" s="2" t="s">
        <v>8</v>
      </c>
    </row>
    <row r="1159" spans="1:5" ht="12.75" customHeight="1" x14ac:dyDescent="0.3">
      <c r="A1159" s="2" t="s">
        <v>2350</v>
      </c>
      <c r="B1159" s="2" t="s">
        <v>56</v>
      </c>
      <c r="C1159" s="3" t="str">
        <f>HYPERLINK("https://springer.com/11709")</f>
        <v>https://springer.com/11709</v>
      </c>
      <c r="D1159" s="2" t="s">
        <v>2351</v>
      </c>
      <c r="E1159" s="2" t="s">
        <v>8</v>
      </c>
    </row>
    <row r="1160" spans="1:5" ht="12.75" customHeight="1" x14ac:dyDescent="0.3">
      <c r="A1160" s="2" t="s">
        <v>2352</v>
      </c>
      <c r="B1160" s="2" t="s">
        <v>20</v>
      </c>
      <c r="C1160" s="3" t="str">
        <f>HYPERLINK("https://springer.com/11710")</f>
        <v>https://springer.com/11710</v>
      </c>
      <c r="D1160" s="2" t="s">
        <v>2353</v>
      </c>
      <c r="E1160" s="2"/>
    </row>
    <row r="1161" spans="1:5" ht="12.75" customHeight="1" x14ac:dyDescent="0.3">
      <c r="A1161" s="2" t="s">
        <v>2354</v>
      </c>
      <c r="B1161" s="2" t="s">
        <v>26</v>
      </c>
      <c r="C1161" s="3" t="str">
        <f>HYPERLINK("https://springer.com/11711")</f>
        <v>https://springer.com/11711</v>
      </c>
      <c r="D1161" s="2" t="s">
        <v>2355</v>
      </c>
      <c r="E1161" s="2"/>
    </row>
    <row r="1162" spans="1:5" ht="12.75" customHeight="1" x14ac:dyDescent="0.3">
      <c r="A1162" s="2" t="s">
        <v>2356</v>
      </c>
      <c r="B1162" s="2" t="s">
        <v>868</v>
      </c>
      <c r="C1162" s="3" t="str">
        <f>HYPERLINK("https://springer.com/11712")</f>
        <v>https://springer.com/11712</v>
      </c>
      <c r="D1162" s="2" t="s">
        <v>2357</v>
      </c>
      <c r="E1162" s="2" t="s">
        <v>8</v>
      </c>
    </row>
    <row r="1163" spans="1:5" ht="12.75" customHeight="1" x14ac:dyDescent="0.3">
      <c r="A1163" s="2" t="s">
        <v>2358</v>
      </c>
      <c r="B1163" s="2" t="s">
        <v>63</v>
      </c>
      <c r="C1163" s="3" t="str">
        <f>HYPERLINK("https://springer.com/11714")</f>
        <v>https://springer.com/11714</v>
      </c>
      <c r="D1163" s="2" t="s">
        <v>2359</v>
      </c>
      <c r="E1163" s="2" t="s">
        <v>8</v>
      </c>
    </row>
    <row r="1164" spans="1:5" ht="12.75" customHeight="1" x14ac:dyDescent="0.3">
      <c r="A1164" s="2" t="s">
        <v>2360</v>
      </c>
      <c r="B1164" s="2" t="s">
        <v>26</v>
      </c>
      <c r="C1164" s="3" t="str">
        <f>HYPERLINK("https://springer.com/11720")</f>
        <v>https://springer.com/11720</v>
      </c>
      <c r="D1164" s="2" t="s">
        <v>2361</v>
      </c>
      <c r="E1164" s="2"/>
    </row>
    <row r="1165" spans="1:5" ht="12.75" customHeight="1" x14ac:dyDescent="0.3">
      <c r="A1165" s="2" t="s">
        <v>2362</v>
      </c>
      <c r="B1165" s="2" t="s">
        <v>63</v>
      </c>
      <c r="C1165" s="3" t="str">
        <f>HYPERLINK("https://springer.com/11721")</f>
        <v>https://springer.com/11721</v>
      </c>
      <c r="D1165" s="2" t="s">
        <v>2363</v>
      </c>
      <c r="E1165" s="2" t="s">
        <v>8</v>
      </c>
    </row>
    <row r="1166" spans="1:5" ht="12.75" customHeight="1" x14ac:dyDescent="0.3">
      <c r="A1166" s="2" t="s">
        <v>2364</v>
      </c>
      <c r="B1166" s="2" t="s">
        <v>78</v>
      </c>
      <c r="C1166" s="3" t="str">
        <f>HYPERLINK("https://springer.com/11726")</f>
        <v>https://springer.com/11726</v>
      </c>
      <c r="D1166" s="2" t="s">
        <v>2365</v>
      </c>
      <c r="E1166" s="2" t="s">
        <v>8</v>
      </c>
    </row>
    <row r="1167" spans="1:5" ht="12.75" customHeight="1" x14ac:dyDescent="0.3">
      <c r="A1167" s="2" t="s">
        <v>2366</v>
      </c>
      <c r="B1167" s="2" t="s">
        <v>13</v>
      </c>
      <c r="C1167" s="3" t="str">
        <f>HYPERLINK("https://springer.com/11734")</f>
        <v>https://springer.com/11734</v>
      </c>
      <c r="D1167" s="2" t="s">
        <v>2367</v>
      </c>
      <c r="E1167" s="2" t="s">
        <v>8</v>
      </c>
    </row>
    <row r="1168" spans="1:5" ht="12.75" customHeight="1" x14ac:dyDescent="0.3">
      <c r="A1168" s="2" t="s">
        <v>2368</v>
      </c>
      <c r="B1168" s="2" t="s">
        <v>6</v>
      </c>
      <c r="C1168" s="3" t="str">
        <f>HYPERLINK("https://springer.com/11738")</f>
        <v>https://springer.com/11738</v>
      </c>
      <c r="D1168" s="2" t="s">
        <v>2369</v>
      </c>
      <c r="E1168" s="2" t="s">
        <v>8</v>
      </c>
    </row>
    <row r="1169" spans="1:5" ht="12.75" customHeight="1" x14ac:dyDescent="0.3">
      <c r="A1169" s="2" t="s">
        <v>2370</v>
      </c>
      <c r="B1169" s="2" t="s">
        <v>78</v>
      </c>
      <c r="C1169" s="3" t="str">
        <f>HYPERLINK("https://springer.com/11739")</f>
        <v>https://springer.com/11739</v>
      </c>
      <c r="D1169" s="2" t="s">
        <v>2371</v>
      </c>
      <c r="E1169" s="2" t="s">
        <v>8</v>
      </c>
    </row>
    <row r="1170" spans="1:5" ht="12.75" customHeight="1" x14ac:dyDescent="0.3">
      <c r="A1170" s="2" t="s">
        <v>2372</v>
      </c>
      <c r="B1170" s="2" t="s">
        <v>56</v>
      </c>
      <c r="C1170" s="3" t="str">
        <f>HYPERLINK("https://springer.com/11740")</f>
        <v>https://springer.com/11740</v>
      </c>
      <c r="D1170" s="2" t="s">
        <v>2373</v>
      </c>
      <c r="E1170" s="2" t="s">
        <v>8</v>
      </c>
    </row>
    <row r="1171" spans="1:5" ht="12.75" customHeight="1" x14ac:dyDescent="0.3">
      <c r="A1171" s="2" t="s">
        <v>2374</v>
      </c>
      <c r="B1171" s="2" t="s">
        <v>181</v>
      </c>
      <c r="C1171" s="3" t="str">
        <f>HYPERLINK("https://springer.com/11747")</f>
        <v>https://springer.com/11747</v>
      </c>
      <c r="D1171" s="2" t="s">
        <v>2375</v>
      </c>
      <c r="E1171" s="2" t="s">
        <v>8</v>
      </c>
    </row>
    <row r="1172" spans="1:5" ht="12.75" customHeight="1" x14ac:dyDescent="0.3">
      <c r="A1172" s="2" t="s">
        <v>2376</v>
      </c>
      <c r="B1172" s="2" t="s">
        <v>78</v>
      </c>
      <c r="C1172" s="3" t="str">
        <f>HYPERLINK("https://springer.com/11748")</f>
        <v>https://springer.com/11748</v>
      </c>
      <c r="D1172" s="2" t="s">
        <v>2377</v>
      </c>
      <c r="E1172" s="2" t="s">
        <v>8</v>
      </c>
    </row>
    <row r="1173" spans="1:5" ht="12.75" customHeight="1" x14ac:dyDescent="0.3">
      <c r="A1173" s="2" t="s">
        <v>2378</v>
      </c>
      <c r="B1173" s="2" t="s">
        <v>170</v>
      </c>
      <c r="C1173" s="3" t="str">
        <f>HYPERLINK("https://springer.com/11749")</f>
        <v>https://springer.com/11749</v>
      </c>
      <c r="D1173" s="2" t="s">
        <v>2379</v>
      </c>
      <c r="E1173" s="2" t="s">
        <v>8</v>
      </c>
    </row>
    <row r="1174" spans="1:5" ht="12.75" customHeight="1" x14ac:dyDescent="0.3">
      <c r="A1174" s="2" t="s">
        <v>2380</v>
      </c>
      <c r="B1174" s="2" t="s">
        <v>181</v>
      </c>
      <c r="C1174" s="3" t="str">
        <f>HYPERLINK("https://springer.com/11750")</f>
        <v>https://springer.com/11750</v>
      </c>
      <c r="D1174" s="2" t="s">
        <v>2381</v>
      </c>
      <c r="E1174" s="2" t="s">
        <v>8</v>
      </c>
    </row>
    <row r="1175" spans="1:5" ht="12.75" customHeight="1" x14ac:dyDescent="0.3">
      <c r="A1175" s="2" t="s">
        <v>2382</v>
      </c>
      <c r="B1175" s="2" t="s">
        <v>10</v>
      </c>
      <c r="C1175" s="3" t="str">
        <f>HYPERLINK("https://springer.com/11754")</f>
        <v>https://springer.com/11754</v>
      </c>
      <c r="D1175" s="2" t="s">
        <v>2383</v>
      </c>
      <c r="E1175" s="2"/>
    </row>
    <row r="1176" spans="1:5" ht="12.75" customHeight="1" x14ac:dyDescent="0.3">
      <c r="A1176" s="2" t="s">
        <v>2384</v>
      </c>
      <c r="B1176" s="2" t="s">
        <v>13</v>
      </c>
      <c r="C1176" s="3" t="str">
        <f>HYPERLINK("https://springer.com/11755")</f>
        <v>https://springer.com/11755</v>
      </c>
      <c r="D1176" s="2" t="s">
        <v>2385</v>
      </c>
      <c r="E1176" s="2"/>
    </row>
    <row r="1177" spans="1:5" ht="12.75" customHeight="1" x14ac:dyDescent="0.3">
      <c r="A1177" s="2" t="s">
        <v>2386</v>
      </c>
      <c r="B1177" s="2" t="s">
        <v>6</v>
      </c>
      <c r="C1177" s="3" t="str">
        <f>HYPERLINK("https://springer.com/11756")</f>
        <v>https://springer.com/11756</v>
      </c>
      <c r="D1177" s="2" t="s">
        <v>2387</v>
      </c>
      <c r="E1177" s="2" t="s">
        <v>8</v>
      </c>
    </row>
    <row r="1178" spans="1:5" ht="12.75" customHeight="1" x14ac:dyDescent="0.3">
      <c r="A1178" s="2" t="s">
        <v>2388</v>
      </c>
      <c r="B1178" s="2" t="s">
        <v>78</v>
      </c>
      <c r="C1178" s="3" t="str">
        <f>HYPERLINK("https://springer.com/11757")</f>
        <v>https://springer.com/11757</v>
      </c>
      <c r="D1178" s="2" t="s">
        <v>2389</v>
      </c>
      <c r="E1178" s="2" t="s">
        <v>8</v>
      </c>
    </row>
    <row r="1179" spans="1:5" ht="12.75" customHeight="1" x14ac:dyDescent="0.3">
      <c r="A1179" s="2" t="s">
        <v>2390</v>
      </c>
      <c r="B1179" s="2" t="s">
        <v>794</v>
      </c>
      <c r="C1179" s="3" t="str">
        <f>HYPERLINK("https://springer.com/11759")</f>
        <v>https://springer.com/11759</v>
      </c>
      <c r="D1179" s="2" t="s">
        <v>2391</v>
      </c>
      <c r="E1179" s="2" t="s">
        <v>8</v>
      </c>
    </row>
    <row r="1180" spans="1:5" ht="12.75" customHeight="1" x14ac:dyDescent="0.3">
      <c r="A1180" s="2" t="s">
        <v>2392</v>
      </c>
      <c r="B1180" s="2" t="s">
        <v>63</v>
      </c>
      <c r="C1180" s="3" t="str">
        <f>HYPERLINK("https://springer.com/11760")</f>
        <v>https://springer.com/11760</v>
      </c>
      <c r="D1180" s="2" t="s">
        <v>2393</v>
      </c>
      <c r="E1180" s="2" t="s">
        <v>8</v>
      </c>
    </row>
    <row r="1181" spans="1:5" ht="12.75" customHeight="1" x14ac:dyDescent="0.3">
      <c r="A1181" s="2" t="s">
        <v>2394</v>
      </c>
      <c r="B1181" s="2" t="s">
        <v>63</v>
      </c>
      <c r="C1181" s="3" t="str">
        <f>HYPERLINK("https://springer.com/11761")</f>
        <v>https://springer.com/11761</v>
      </c>
      <c r="D1181" s="2" t="s">
        <v>2395</v>
      </c>
      <c r="E1181" s="2" t="s">
        <v>8</v>
      </c>
    </row>
    <row r="1182" spans="1:5" ht="12.75" customHeight="1" x14ac:dyDescent="0.3">
      <c r="A1182" s="2" t="s">
        <v>2396</v>
      </c>
      <c r="B1182" s="2" t="s">
        <v>78</v>
      </c>
      <c r="C1182" s="3" t="str">
        <f>HYPERLINK("https://springer.com/11764")</f>
        <v>https://springer.com/11764</v>
      </c>
      <c r="D1182" s="2" t="s">
        <v>2397</v>
      </c>
      <c r="E1182" s="2" t="s">
        <v>8</v>
      </c>
    </row>
    <row r="1183" spans="1:5" ht="12.75" customHeight="1" x14ac:dyDescent="0.3">
      <c r="A1183" s="2" t="s">
        <v>2398</v>
      </c>
      <c r="B1183" s="2" t="s">
        <v>10</v>
      </c>
      <c r="C1183" s="3" t="str">
        <f>HYPERLINK("https://springer.com/11766")</f>
        <v>https://springer.com/11766</v>
      </c>
      <c r="D1183" s="2" t="s">
        <v>2399</v>
      </c>
      <c r="E1183" s="2" t="s">
        <v>8</v>
      </c>
    </row>
    <row r="1184" spans="1:5" ht="12.75" customHeight="1" x14ac:dyDescent="0.3">
      <c r="A1184" s="2" t="s">
        <v>2400</v>
      </c>
      <c r="B1184" s="2" t="s">
        <v>56</v>
      </c>
      <c r="C1184" s="3" t="str">
        <f>HYPERLINK("https://springer.com/11768")</f>
        <v>https://springer.com/11768</v>
      </c>
      <c r="D1184" s="2" t="s">
        <v>2401</v>
      </c>
      <c r="E1184" s="2" t="s">
        <v>8</v>
      </c>
    </row>
    <row r="1185" spans="1:5" ht="12.75" customHeight="1" x14ac:dyDescent="0.3">
      <c r="A1185" s="2" t="s">
        <v>2402</v>
      </c>
      <c r="B1185" s="2" t="s">
        <v>528</v>
      </c>
      <c r="C1185" s="3" t="str">
        <f>HYPERLINK("https://springer.com/11769")</f>
        <v>https://springer.com/11769</v>
      </c>
      <c r="D1185" s="2" t="s">
        <v>2403</v>
      </c>
      <c r="E1185" s="2" t="s">
        <v>8</v>
      </c>
    </row>
    <row r="1186" spans="1:5" ht="12.75" customHeight="1" x14ac:dyDescent="0.3">
      <c r="A1186" s="2" t="s">
        <v>2404</v>
      </c>
      <c r="B1186" s="2" t="s">
        <v>26</v>
      </c>
      <c r="C1186" s="3" t="str">
        <f>HYPERLINK("https://springer.com/11770")</f>
        <v>https://springer.com/11770</v>
      </c>
      <c r="D1186" s="2" t="s">
        <v>2405</v>
      </c>
      <c r="E1186" s="2" t="s">
        <v>8</v>
      </c>
    </row>
    <row r="1187" spans="1:5" ht="12.75" customHeight="1" x14ac:dyDescent="0.3">
      <c r="A1187" s="2" t="s">
        <v>2406</v>
      </c>
      <c r="B1187" s="2" t="s">
        <v>56</v>
      </c>
      <c r="C1187" s="3" t="str">
        <f>HYPERLINK("https://springer.com/11771")</f>
        <v>https://springer.com/11771</v>
      </c>
      <c r="D1187" s="2" t="s">
        <v>2407</v>
      </c>
      <c r="E1187" s="2" t="s">
        <v>8</v>
      </c>
    </row>
    <row r="1188" spans="1:5" ht="12.75" customHeight="1" x14ac:dyDescent="0.3">
      <c r="A1188" s="2" t="s">
        <v>2408</v>
      </c>
      <c r="B1188" s="2" t="s">
        <v>133</v>
      </c>
      <c r="C1188" s="3" t="str">
        <f>HYPERLINK("https://springer.com/11783")</f>
        <v>https://springer.com/11783</v>
      </c>
      <c r="D1188" s="2" t="s">
        <v>2409</v>
      </c>
      <c r="E1188" s="2" t="s">
        <v>8</v>
      </c>
    </row>
    <row r="1189" spans="1:5" ht="12.75" customHeight="1" x14ac:dyDescent="0.3">
      <c r="A1189" s="2" t="s">
        <v>2410</v>
      </c>
      <c r="B1189" s="2" t="s">
        <v>10</v>
      </c>
      <c r="C1189" s="3" t="str">
        <f>HYPERLINK("https://springer.com/11784")</f>
        <v>https://springer.com/11784</v>
      </c>
      <c r="D1189" s="2" t="s">
        <v>2411</v>
      </c>
      <c r="E1189" s="2" t="s">
        <v>8</v>
      </c>
    </row>
    <row r="1190" spans="1:5" ht="12.75" customHeight="1" x14ac:dyDescent="0.3">
      <c r="A1190" s="2" t="s">
        <v>2412</v>
      </c>
      <c r="B1190" s="2" t="s">
        <v>10</v>
      </c>
      <c r="C1190" s="3" t="str">
        <f>HYPERLINK("https://springer.com/11785")</f>
        <v>https://springer.com/11785</v>
      </c>
      <c r="D1190" s="2" t="s">
        <v>2413</v>
      </c>
      <c r="E1190" s="2" t="s">
        <v>8</v>
      </c>
    </row>
    <row r="1191" spans="1:5" ht="12.75" customHeight="1" x14ac:dyDescent="0.3">
      <c r="A1191" s="2" t="s">
        <v>2414</v>
      </c>
      <c r="B1191" s="2" t="s">
        <v>10</v>
      </c>
      <c r="C1191" s="3" t="str">
        <f>HYPERLINK("https://springer.com/11786")</f>
        <v>https://springer.com/11786</v>
      </c>
      <c r="D1191" s="2" t="s">
        <v>2415</v>
      </c>
      <c r="E1191" s="2" t="s">
        <v>8</v>
      </c>
    </row>
    <row r="1192" spans="1:5" ht="12.75" customHeight="1" x14ac:dyDescent="0.3">
      <c r="A1192" s="2" t="s">
        <v>2416</v>
      </c>
      <c r="B1192" s="2" t="s">
        <v>10</v>
      </c>
      <c r="C1192" s="3" t="str">
        <f>HYPERLINK("https://springer.com/11787")</f>
        <v>https://springer.com/11787</v>
      </c>
      <c r="D1192" s="2" t="s">
        <v>2417</v>
      </c>
      <c r="E1192" s="2" t="s">
        <v>8</v>
      </c>
    </row>
    <row r="1193" spans="1:5" ht="12.75" customHeight="1" x14ac:dyDescent="0.3">
      <c r="A1193" s="2" t="s">
        <v>2418</v>
      </c>
      <c r="B1193" s="2" t="s">
        <v>78</v>
      </c>
      <c r="C1193" s="3" t="str">
        <f>HYPERLINK("https://springer.com/11789")</f>
        <v>https://springer.com/11789</v>
      </c>
      <c r="D1193" s="2" t="s">
        <v>2419</v>
      </c>
      <c r="E1193" s="2" t="s">
        <v>8</v>
      </c>
    </row>
    <row r="1194" spans="1:5" ht="12.75" customHeight="1" x14ac:dyDescent="0.3">
      <c r="A1194" s="2" t="s">
        <v>2420</v>
      </c>
      <c r="B1194" s="2" t="s">
        <v>13</v>
      </c>
      <c r="C1194" s="3" t="str">
        <f>HYPERLINK("https://springer.com/11801")</f>
        <v>https://springer.com/11801</v>
      </c>
      <c r="D1194" s="2" t="s">
        <v>2421</v>
      </c>
      <c r="E1194" s="2" t="s">
        <v>8</v>
      </c>
    </row>
    <row r="1195" spans="1:5" ht="12.75" customHeight="1" x14ac:dyDescent="0.3">
      <c r="A1195" s="2" t="s">
        <v>2422</v>
      </c>
      <c r="B1195" s="2" t="s">
        <v>26</v>
      </c>
      <c r="C1195" s="3" t="str">
        <f>HYPERLINK("https://springer.com/11802")</f>
        <v>https://springer.com/11802</v>
      </c>
      <c r="D1195" s="2" t="s">
        <v>2423</v>
      </c>
      <c r="E1195" s="2" t="s">
        <v>8</v>
      </c>
    </row>
    <row r="1196" spans="1:5" ht="12.75" customHeight="1" x14ac:dyDescent="0.3">
      <c r="A1196" s="2" t="s">
        <v>2424</v>
      </c>
      <c r="B1196" s="2" t="s">
        <v>26</v>
      </c>
      <c r="C1196" s="3" t="str">
        <f>HYPERLINK("https://springer.com/11803")</f>
        <v>https://springer.com/11803</v>
      </c>
      <c r="D1196" s="2" t="s">
        <v>2425</v>
      </c>
      <c r="E1196" s="2" t="s">
        <v>8</v>
      </c>
    </row>
    <row r="1197" spans="1:5" ht="12.75" customHeight="1" x14ac:dyDescent="0.3">
      <c r="A1197" s="2" t="s">
        <v>2426</v>
      </c>
      <c r="B1197" s="2" t="s">
        <v>56</v>
      </c>
      <c r="C1197" s="3" t="str">
        <f>HYPERLINK("https://springer.com/11804")</f>
        <v>https://springer.com/11804</v>
      </c>
      <c r="D1197" s="2" t="s">
        <v>2427</v>
      </c>
      <c r="E1197" s="2" t="s">
        <v>8</v>
      </c>
    </row>
    <row r="1198" spans="1:5" ht="12.75" customHeight="1" x14ac:dyDescent="0.3">
      <c r="A1198" s="2" t="s">
        <v>2428</v>
      </c>
      <c r="B1198" s="2" t="s">
        <v>218</v>
      </c>
      <c r="C1198" s="3" t="str">
        <f>HYPERLINK("https://springer.com/11814")</f>
        <v>https://springer.com/11814</v>
      </c>
      <c r="D1198" s="2" t="s">
        <v>2429</v>
      </c>
      <c r="E1198" s="2" t="s">
        <v>8</v>
      </c>
    </row>
    <row r="1199" spans="1:5" ht="12.75" customHeight="1" x14ac:dyDescent="0.3">
      <c r="A1199" s="2" t="s">
        <v>2430</v>
      </c>
      <c r="B1199" s="2" t="s">
        <v>6</v>
      </c>
      <c r="C1199" s="3" t="str">
        <f>HYPERLINK("https://springer.com/11816")</f>
        <v>https://springer.com/11816</v>
      </c>
      <c r="D1199" s="2" t="s">
        <v>2431</v>
      </c>
      <c r="E1199" s="2" t="s">
        <v>8</v>
      </c>
    </row>
    <row r="1200" spans="1:5" ht="12.75" customHeight="1" x14ac:dyDescent="0.3">
      <c r="A1200" s="2" t="s">
        <v>2432</v>
      </c>
      <c r="B1200" s="2" t="s">
        <v>78</v>
      </c>
      <c r="C1200" s="3" t="str">
        <f>HYPERLINK("https://springer.com/11818")</f>
        <v>https://springer.com/11818</v>
      </c>
      <c r="D1200" s="2" t="s">
        <v>2433</v>
      </c>
      <c r="E1200" s="2" t="s">
        <v>8</v>
      </c>
    </row>
    <row r="1201" spans="1:5" ht="12.75" customHeight="1" x14ac:dyDescent="0.3">
      <c r="A1201" s="2" t="s">
        <v>2434</v>
      </c>
      <c r="B1201" s="2" t="s">
        <v>10</v>
      </c>
      <c r="C1201" s="3" t="str">
        <f>HYPERLINK("https://springer.com/11819")</f>
        <v>https://springer.com/11819</v>
      </c>
      <c r="D1201" s="2" t="s">
        <v>2435</v>
      </c>
      <c r="E1201" s="2"/>
    </row>
    <row r="1202" spans="1:5" ht="12.75" customHeight="1" x14ac:dyDescent="0.3">
      <c r="A1202" s="2" t="s">
        <v>2436</v>
      </c>
      <c r="B1202" s="2" t="s">
        <v>6</v>
      </c>
      <c r="C1202" s="3" t="str">
        <f>HYPERLINK("https://springer.com/11821")</f>
        <v>https://springer.com/11821</v>
      </c>
      <c r="D1202" s="2" t="s">
        <v>2437</v>
      </c>
      <c r="E1202" s="2"/>
    </row>
    <row r="1203" spans="1:5" ht="12.75" customHeight="1" x14ac:dyDescent="0.3">
      <c r="A1203" s="2" t="s">
        <v>2438</v>
      </c>
      <c r="B1203" s="2" t="s">
        <v>13</v>
      </c>
      <c r="C1203" s="3" t="str">
        <f>HYPERLINK("https://springer.com/11823")</f>
        <v>https://springer.com/11823</v>
      </c>
      <c r="D1203" s="2" t="s">
        <v>2439</v>
      </c>
      <c r="E1203" s="2"/>
    </row>
    <row r="1204" spans="1:5" ht="12.75" customHeight="1" x14ac:dyDescent="0.3">
      <c r="A1204" s="2" t="s">
        <v>2440</v>
      </c>
      <c r="B1204" s="2" t="s">
        <v>218</v>
      </c>
      <c r="C1204" s="3" t="str">
        <f>HYPERLINK("https://springer.com/11826")</f>
        <v>https://springer.com/11826</v>
      </c>
      <c r="D1204" s="2" t="s">
        <v>2441</v>
      </c>
      <c r="E1204" s="2"/>
    </row>
    <row r="1205" spans="1:5" ht="12.75" customHeight="1" x14ac:dyDescent="0.3">
      <c r="A1205" s="2" t="s">
        <v>2442</v>
      </c>
      <c r="B1205" s="2" t="s">
        <v>6</v>
      </c>
      <c r="C1205" s="3" t="str">
        <f>HYPERLINK("https://springer.com/11827")</f>
        <v>https://springer.com/11827</v>
      </c>
      <c r="D1205" s="2" t="s">
        <v>2443</v>
      </c>
      <c r="E1205" s="2"/>
    </row>
    <row r="1206" spans="1:5" ht="12.75" customHeight="1" x14ac:dyDescent="0.3">
      <c r="A1206" s="2" t="s">
        <v>2444</v>
      </c>
      <c r="B1206" s="2" t="s">
        <v>218</v>
      </c>
      <c r="C1206" s="3" t="str">
        <f>HYPERLINK("https://springer.com/11828")</f>
        <v>https://springer.com/11828</v>
      </c>
      <c r="D1206" s="2" t="s">
        <v>2445</v>
      </c>
      <c r="E1206" s="2"/>
    </row>
    <row r="1207" spans="1:5" ht="12.75" customHeight="1" x14ac:dyDescent="0.3">
      <c r="A1207" s="2" t="s">
        <v>2446</v>
      </c>
      <c r="B1207" s="2" t="s">
        <v>6</v>
      </c>
      <c r="C1207" s="3" t="str">
        <f>HYPERLINK("https://springer.com/11829")</f>
        <v>https://springer.com/11829</v>
      </c>
      <c r="D1207" s="2" t="s">
        <v>2447</v>
      </c>
      <c r="E1207" s="2" t="s">
        <v>8</v>
      </c>
    </row>
    <row r="1208" spans="1:5" ht="12.75" customHeight="1" x14ac:dyDescent="0.3">
      <c r="A1208" s="2" t="s">
        <v>2448</v>
      </c>
      <c r="B1208" s="2" t="s">
        <v>56</v>
      </c>
      <c r="C1208" s="3" t="str">
        <f>HYPERLINK("https://springer.com/11831")</f>
        <v>https://springer.com/11831</v>
      </c>
      <c r="D1208" s="2" t="s">
        <v>2449</v>
      </c>
      <c r="E1208" s="2" t="s">
        <v>8</v>
      </c>
    </row>
    <row r="1209" spans="1:5" ht="12.75" customHeight="1" x14ac:dyDescent="0.3">
      <c r="A1209" s="2" t="s">
        <v>2450</v>
      </c>
      <c r="B1209" s="2" t="s">
        <v>56</v>
      </c>
      <c r="C1209" s="3" t="str">
        <f>HYPERLINK("https://springer.com/11837")</f>
        <v>https://springer.com/11837</v>
      </c>
      <c r="D1209" s="2" t="s">
        <v>2451</v>
      </c>
      <c r="E1209" s="2" t="s">
        <v>8</v>
      </c>
    </row>
    <row r="1210" spans="1:5" ht="12.75" customHeight="1" x14ac:dyDescent="0.3">
      <c r="A1210" s="2" t="s">
        <v>2452</v>
      </c>
      <c r="B1210" s="2" t="s">
        <v>868</v>
      </c>
      <c r="C1210" s="3" t="str">
        <f>HYPERLINK("https://springer.com/11841")</f>
        <v>https://springer.com/11841</v>
      </c>
      <c r="D1210" s="2" t="s">
        <v>2453</v>
      </c>
      <c r="E1210" s="2" t="s">
        <v>8</v>
      </c>
    </row>
    <row r="1211" spans="1:5" ht="12.75" customHeight="1" x14ac:dyDescent="0.3">
      <c r="A1211" s="2" t="s">
        <v>2454</v>
      </c>
      <c r="B1211" s="2" t="s">
        <v>6</v>
      </c>
      <c r="C1211" s="3" t="str">
        <f>HYPERLINK("https://springer.com/11842")</f>
        <v>https://springer.com/11842</v>
      </c>
      <c r="D1211" s="2" t="s">
        <v>2455</v>
      </c>
      <c r="E1211" s="2" t="s">
        <v>8</v>
      </c>
    </row>
    <row r="1212" spans="1:5" ht="12.75" customHeight="1" x14ac:dyDescent="0.3">
      <c r="A1212" s="2" t="s">
        <v>2456</v>
      </c>
      <c r="B1212" s="2" t="s">
        <v>78</v>
      </c>
      <c r="C1212" s="3" t="str">
        <f>HYPERLINK("https://springer.com/11845")</f>
        <v>https://springer.com/11845</v>
      </c>
      <c r="D1212" s="2" t="s">
        <v>2457</v>
      </c>
      <c r="E1212" s="2" t="s">
        <v>8</v>
      </c>
    </row>
    <row r="1213" spans="1:5" ht="12.75" customHeight="1" x14ac:dyDescent="0.3">
      <c r="A1213" s="2" t="s">
        <v>2458</v>
      </c>
      <c r="B1213" s="2" t="s">
        <v>181</v>
      </c>
      <c r="C1213" s="3" t="str">
        <f>HYPERLINK("https://springer.com/11846")</f>
        <v>https://springer.com/11846</v>
      </c>
      <c r="D1213" s="2" t="s">
        <v>2459</v>
      </c>
      <c r="E1213" s="2" t="s">
        <v>8</v>
      </c>
    </row>
    <row r="1214" spans="1:5" ht="12.75" customHeight="1" x14ac:dyDescent="0.3">
      <c r="A1214" s="2" t="s">
        <v>2460</v>
      </c>
      <c r="B1214" s="2" t="s">
        <v>528</v>
      </c>
      <c r="C1214" s="3" t="str">
        <f>HYPERLINK("https://springer.com/11852")</f>
        <v>https://springer.com/11852</v>
      </c>
      <c r="D1214" s="2" t="s">
        <v>2461</v>
      </c>
      <c r="E1214" s="2" t="s">
        <v>8</v>
      </c>
    </row>
    <row r="1215" spans="1:5" ht="12.75" customHeight="1" x14ac:dyDescent="0.3">
      <c r="A1215" s="2" t="s">
        <v>2462</v>
      </c>
      <c r="B1215" s="2" t="s">
        <v>10</v>
      </c>
      <c r="C1215" s="3" t="str">
        <f>HYPERLINK("https://springer.com/11854")</f>
        <v>https://springer.com/11854</v>
      </c>
      <c r="D1215" s="2" t="s">
        <v>2463</v>
      </c>
      <c r="E1215" s="2" t="s">
        <v>8</v>
      </c>
    </row>
    <row r="1216" spans="1:5" ht="12.75" customHeight="1" x14ac:dyDescent="0.3">
      <c r="A1216" s="2" t="s">
        <v>2464</v>
      </c>
      <c r="B1216" s="2" t="s">
        <v>10</v>
      </c>
      <c r="C1216" s="3" t="str">
        <f>HYPERLINK("https://springer.com/11856")</f>
        <v>https://springer.com/11856</v>
      </c>
      <c r="D1216" s="2" t="s">
        <v>2465</v>
      </c>
      <c r="E1216" s="2" t="s">
        <v>8</v>
      </c>
    </row>
    <row r="1217" spans="1:5" ht="12.75" customHeight="1" x14ac:dyDescent="0.3">
      <c r="A1217" s="2" t="s">
        <v>2466</v>
      </c>
      <c r="B1217" s="2" t="s">
        <v>753</v>
      </c>
      <c r="C1217" s="3" t="str">
        <f>HYPERLINK("https://springer.com/11858")</f>
        <v>https://springer.com/11858</v>
      </c>
      <c r="D1217" s="2" t="s">
        <v>2467</v>
      </c>
      <c r="E1217" s="2" t="s">
        <v>8</v>
      </c>
    </row>
    <row r="1218" spans="1:5" ht="12.75" customHeight="1" x14ac:dyDescent="0.3">
      <c r="A1218" s="2" t="s">
        <v>2468</v>
      </c>
      <c r="B1218" s="2" t="s">
        <v>78</v>
      </c>
      <c r="C1218" s="3" t="str">
        <f>HYPERLINK("https://springer.com/11864")</f>
        <v>https://springer.com/11864</v>
      </c>
      <c r="D1218" s="2" t="s">
        <v>2469</v>
      </c>
      <c r="E1218" s="2" t="s">
        <v>8</v>
      </c>
    </row>
    <row r="1219" spans="1:5" ht="12.75" customHeight="1" x14ac:dyDescent="0.3">
      <c r="A1219" s="2" t="s">
        <v>2470</v>
      </c>
      <c r="B1219" s="2" t="s">
        <v>10</v>
      </c>
      <c r="C1219" s="3" t="str">
        <f>HYPERLINK("https://springer.com/11868")</f>
        <v>https://springer.com/11868</v>
      </c>
      <c r="D1219" s="2" t="s">
        <v>2471</v>
      </c>
      <c r="E1219" s="2" t="s">
        <v>8</v>
      </c>
    </row>
    <row r="1220" spans="1:5" ht="12.75" customHeight="1" x14ac:dyDescent="0.3">
      <c r="A1220" s="2" t="s">
        <v>2472</v>
      </c>
      <c r="B1220" s="2" t="s">
        <v>133</v>
      </c>
      <c r="C1220" s="3" t="str">
        <f>HYPERLINK("https://springer.com/11869")</f>
        <v>https://springer.com/11869</v>
      </c>
      <c r="D1220" s="2" t="s">
        <v>2473</v>
      </c>
      <c r="E1220" s="2" t="s">
        <v>8</v>
      </c>
    </row>
    <row r="1221" spans="1:5" ht="12.75" customHeight="1" x14ac:dyDescent="0.3">
      <c r="A1221" s="2" t="s">
        <v>2474</v>
      </c>
      <c r="B1221" s="2" t="s">
        <v>1030</v>
      </c>
      <c r="C1221" s="3" t="str">
        <f>HYPERLINK("https://springer.com/11881")</f>
        <v>https://springer.com/11881</v>
      </c>
      <c r="D1221" s="2" t="s">
        <v>2475</v>
      </c>
      <c r="E1221" s="2" t="s">
        <v>8</v>
      </c>
    </row>
    <row r="1222" spans="1:5" ht="12.75" customHeight="1" x14ac:dyDescent="0.3">
      <c r="A1222" s="2" t="s">
        <v>2476</v>
      </c>
      <c r="B1222" s="2" t="s">
        <v>78</v>
      </c>
      <c r="C1222" s="3" t="str">
        <f>HYPERLINK("https://springer.com/11882")</f>
        <v>https://springer.com/11882</v>
      </c>
      <c r="D1222" s="2" t="s">
        <v>2477</v>
      </c>
      <c r="E1222" s="2" t="s">
        <v>8</v>
      </c>
    </row>
    <row r="1223" spans="1:5" ht="12.75" customHeight="1" x14ac:dyDescent="0.3">
      <c r="A1223" s="2" t="s">
        <v>2478</v>
      </c>
      <c r="B1223" s="2" t="s">
        <v>78</v>
      </c>
      <c r="C1223" s="3" t="str">
        <f>HYPERLINK("https://springer.com/11883")</f>
        <v>https://springer.com/11883</v>
      </c>
      <c r="D1223" s="2" t="s">
        <v>2479</v>
      </c>
      <c r="E1223" s="2" t="s">
        <v>8</v>
      </c>
    </row>
    <row r="1224" spans="1:5" ht="12.75" customHeight="1" x14ac:dyDescent="0.3">
      <c r="A1224" s="2" t="s">
        <v>2480</v>
      </c>
      <c r="B1224" s="2" t="s">
        <v>78</v>
      </c>
      <c r="C1224" s="3" t="str">
        <f>HYPERLINK("https://springer.com/11884")</f>
        <v>https://springer.com/11884</v>
      </c>
      <c r="D1224" s="2" t="s">
        <v>2481</v>
      </c>
      <c r="E1224" s="2" t="s">
        <v>8</v>
      </c>
    </row>
    <row r="1225" spans="1:5" ht="12.75" customHeight="1" x14ac:dyDescent="0.3">
      <c r="A1225" s="2" t="s">
        <v>2482</v>
      </c>
      <c r="B1225" s="2" t="s">
        <v>78</v>
      </c>
      <c r="C1225" s="3" t="str">
        <f>HYPERLINK("https://springer.com/11886")</f>
        <v>https://springer.com/11886</v>
      </c>
      <c r="D1225" s="2" t="s">
        <v>2483</v>
      </c>
      <c r="E1225" s="2" t="s">
        <v>8</v>
      </c>
    </row>
    <row r="1226" spans="1:5" ht="12.75" customHeight="1" x14ac:dyDescent="0.3">
      <c r="A1226" s="2" t="s">
        <v>2484</v>
      </c>
      <c r="B1226" s="2" t="s">
        <v>78</v>
      </c>
      <c r="C1226" s="3" t="str">
        <f>HYPERLINK("https://springer.com/11892")</f>
        <v>https://springer.com/11892</v>
      </c>
      <c r="D1226" s="2" t="s">
        <v>2485</v>
      </c>
      <c r="E1226" s="2" t="s">
        <v>8</v>
      </c>
    </row>
    <row r="1227" spans="1:5" ht="12.75" customHeight="1" x14ac:dyDescent="0.3">
      <c r="A1227" s="2" t="s">
        <v>2486</v>
      </c>
      <c r="B1227" s="2" t="s">
        <v>78</v>
      </c>
      <c r="C1227" s="3" t="str">
        <f>HYPERLINK("https://springer.com/11894")</f>
        <v>https://springer.com/11894</v>
      </c>
      <c r="D1227" s="2" t="s">
        <v>2487</v>
      </c>
      <c r="E1227" s="2" t="s">
        <v>8</v>
      </c>
    </row>
    <row r="1228" spans="1:5" ht="12.75" customHeight="1" x14ac:dyDescent="0.3">
      <c r="A1228" s="2" t="s">
        <v>2488</v>
      </c>
      <c r="B1228" s="2" t="s">
        <v>443</v>
      </c>
      <c r="C1228" s="3" t="str">
        <f>HYPERLINK("https://springer.com/11896")</f>
        <v>https://springer.com/11896</v>
      </c>
      <c r="D1228" s="2" t="s">
        <v>2489</v>
      </c>
      <c r="E1228" s="2" t="s">
        <v>8</v>
      </c>
    </row>
    <row r="1229" spans="1:5" ht="12.75" customHeight="1" x14ac:dyDescent="0.3">
      <c r="A1229" s="2" t="s">
        <v>2490</v>
      </c>
      <c r="B1229" s="2" t="s">
        <v>78</v>
      </c>
      <c r="C1229" s="3" t="str">
        <f>HYPERLINK("https://springer.com/11897")</f>
        <v>https://springer.com/11897</v>
      </c>
      <c r="D1229" s="2" t="s">
        <v>2491</v>
      </c>
      <c r="E1229" s="2" t="s">
        <v>8</v>
      </c>
    </row>
    <row r="1230" spans="1:5" ht="12.75" customHeight="1" x14ac:dyDescent="0.3">
      <c r="A1230" s="2" t="s">
        <v>2492</v>
      </c>
      <c r="B1230" s="2" t="s">
        <v>78</v>
      </c>
      <c r="C1230" s="3" t="str">
        <f>HYPERLINK("https://springer.com/11899")</f>
        <v>https://springer.com/11899</v>
      </c>
      <c r="D1230" s="2" t="s">
        <v>2493</v>
      </c>
      <c r="E1230" s="2" t="s">
        <v>8</v>
      </c>
    </row>
    <row r="1231" spans="1:5" ht="12.75" customHeight="1" x14ac:dyDescent="0.3">
      <c r="A1231" s="2" t="s">
        <v>2494</v>
      </c>
      <c r="B1231" s="2" t="s">
        <v>78</v>
      </c>
      <c r="C1231" s="3" t="str">
        <f>HYPERLINK("https://springer.com/11901")</f>
        <v>https://springer.com/11901</v>
      </c>
      <c r="D1231" s="2" t="s">
        <v>2495</v>
      </c>
      <c r="E1231" s="2" t="s">
        <v>8</v>
      </c>
    </row>
    <row r="1232" spans="1:5" ht="12.75" customHeight="1" x14ac:dyDescent="0.3">
      <c r="A1232" s="2" t="s">
        <v>2496</v>
      </c>
      <c r="B1232" s="2" t="s">
        <v>78</v>
      </c>
      <c r="C1232" s="3" t="str">
        <f>HYPERLINK("https://springer.com/11904")</f>
        <v>https://springer.com/11904</v>
      </c>
      <c r="D1232" s="2" t="s">
        <v>2497</v>
      </c>
      <c r="E1232" s="2" t="s">
        <v>8</v>
      </c>
    </row>
    <row r="1233" spans="1:5" ht="12.75" customHeight="1" x14ac:dyDescent="0.3">
      <c r="A1233" s="2" t="s">
        <v>2498</v>
      </c>
      <c r="B1233" s="2" t="s">
        <v>78</v>
      </c>
      <c r="C1233" s="3" t="str">
        <f>HYPERLINK("https://springer.com/11906")</f>
        <v>https://springer.com/11906</v>
      </c>
      <c r="D1233" s="2" t="s">
        <v>2499</v>
      </c>
      <c r="E1233" s="2" t="s">
        <v>8</v>
      </c>
    </row>
    <row r="1234" spans="1:5" ht="12.75" customHeight="1" x14ac:dyDescent="0.3">
      <c r="A1234" s="2" t="s">
        <v>2500</v>
      </c>
      <c r="B1234" s="2" t="s">
        <v>78</v>
      </c>
      <c r="C1234" s="3" t="str">
        <f>HYPERLINK("https://springer.com/11908")</f>
        <v>https://springer.com/11908</v>
      </c>
      <c r="D1234" s="2" t="s">
        <v>2501</v>
      </c>
      <c r="E1234" s="2" t="s">
        <v>8</v>
      </c>
    </row>
    <row r="1235" spans="1:5" ht="12.75" customHeight="1" x14ac:dyDescent="0.3">
      <c r="A1235" s="2" t="s">
        <v>2502</v>
      </c>
      <c r="B1235" s="2" t="s">
        <v>78</v>
      </c>
      <c r="C1235" s="3" t="str">
        <f>HYPERLINK("https://springer.com/11910")</f>
        <v>https://springer.com/11910</v>
      </c>
      <c r="D1235" s="2" t="s">
        <v>2503</v>
      </c>
      <c r="E1235" s="2" t="s">
        <v>8</v>
      </c>
    </row>
    <row r="1236" spans="1:5" ht="12.75" customHeight="1" x14ac:dyDescent="0.3">
      <c r="A1236" s="2" t="s">
        <v>2504</v>
      </c>
      <c r="B1236" s="2" t="s">
        <v>78</v>
      </c>
      <c r="C1236" s="3" t="str">
        <f>HYPERLINK("https://springer.com/11912")</f>
        <v>https://springer.com/11912</v>
      </c>
      <c r="D1236" s="2" t="s">
        <v>2505</v>
      </c>
      <c r="E1236" s="2" t="s">
        <v>8</v>
      </c>
    </row>
    <row r="1237" spans="1:5" ht="12.75" customHeight="1" x14ac:dyDescent="0.3">
      <c r="A1237" s="2" t="s">
        <v>2506</v>
      </c>
      <c r="B1237" s="2" t="s">
        <v>78</v>
      </c>
      <c r="C1237" s="3" t="str">
        <f>HYPERLINK("https://springer.com/11914")</f>
        <v>https://springer.com/11914</v>
      </c>
      <c r="D1237" s="2" t="s">
        <v>2507</v>
      </c>
      <c r="E1237" s="2" t="s">
        <v>8</v>
      </c>
    </row>
    <row r="1238" spans="1:5" ht="12.75" customHeight="1" x14ac:dyDescent="0.3">
      <c r="A1238" s="2" t="s">
        <v>2508</v>
      </c>
      <c r="B1238" s="2" t="s">
        <v>78</v>
      </c>
      <c r="C1238" s="3" t="str">
        <f>HYPERLINK("https://springer.com/11916")</f>
        <v>https://springer.com/11916</v>
      </c>
      <c r="D1238" s="2" t="s">
        <v>2509</v>
      </c>
      <c r="E1238" s="2" t="s">
        <v>8</v>
      </c>
    </row>
    <row r="1239" spans="1:5" ht="12.75" customHeight="1" x14ac:dyDescent="0.3">
      <c r="A1239" s="2" t="s">
        <v>2510</v>
      </c>
      <c r="B1239" s="2" t="s">
        <v>78</v>
      </c>
      <c r="C1239" s="3" t="str">
        <f>HYPERLINK("https://springer.com/11920")</f>
        <v>https://springer.com/11920</v>
      </c>
      <c r="D1239" s="2" t="s">
        <v>2511</v>
      </c>
      <c r="E1239" s="2" t="s">
        <v>8</v>
      </c>
    </row>
    <row r="1240" spans="1:5" ht="12.75" customHeight="1" x14ac:dyDescent="0.3">
      <c r="A1240" s="2" t="s">
        <v>2512</v>
      </c>
      <c r="B1240" s="2" t="s">
        <v>78</v>
      </c>
      <c r="C1240" s="3" t="str">
        <f>HYPERLINK("https://springer.com/11926")</f>
        <v>https://springer.com/11926</v>
      </c>
      <c r="D1240" s="2" t="s">
        <v>2513</v>
      </c>
      <c r="E1240" s="2" t="s">
        <v>8</v>
      </c>
    </row>
    <row r="1241" spans="1:5" ht="12.75" customHeight="1" x14ac:dyDescent="0.3">
      <c r="A1241" s="2" t="s">
        <v>2514</v>
      </c>
      <c r="B1241" s="2" t="s">
        <v>78</v>
      </c>
      <c r="C1241" s="3" t="str">
        <f>HYPERLINK("https://springer.com/11930")</f>
        <v>https://springer.com/11930</v>
      </c>
      <c r="D1241" s="2" t="s">
        <v>2515</v>
      </c>
      <c r="E1241" s="2" t="s">
        <v>8</v>
      </c>
    </row>
    <row r="1242" spans="1:5" ht="12.75" customHeight="1" x14ac:dyDescent="0.3">
      <c r="A1242" s="2" t="s">
        <v>2516</v>
      </c>
      <c r="B1242" s="2" t="s">
        <v>78</v>
      </c>
      <c r="C1242" s="3" t="str">
        <f>HYPERLINK("https://springer.com/11934")</f>
        <v>https://springer.com/11934</v>
      </c>
      <c r="D1242" s="2" t="s">
        <v>2517</v>
      </c>
      <c r="E1242" s="2" t="s">
        <v>8</v>
      </c>
    </row>
    <row r="1243" spans="1:5" ht="12.75" customHeight="1" x14ac:dyDescent="0.3">
      <c r="A1243" s="2" t="s">
        <v>2518</v>
      </c>
      <c r="B1243" s="2" t="s">
        <v>78</v>
      </c>
      <c r="C1243" s="3" t="str">
        <f>HYPERLINK("https://springer.com/11936")</f>
        <v>https://springer.com/11936</v>
      </c>
      <c r="D1243" s="2" t="s">
        <v>2519</v>
      </c>
      <c r="E1243" s="2" t="s">
        <v>8</v>
      </c>
    </row>
    <row r="1244" spans="1:5" ht="12.75" customHeight="1" x14ac:dyDescent="0.3">
      <c r="A1244" s="2" t="s">
        <v>2520</v>
      </c>
      <c r="B1244" s="2" t="s">
        <v>78</v>
      </c>
      <c r="C1244" s="3" t="str">
        <f>HYPERLINK("https://springer.com/11938")</f>
        <v>https://springer.com/11938</v>
      </c>
      <c r="D1244" s="2" t="s">
        <v>2521</v>
      </c>
      <c r="E1244" s="2" t="s">
        <v>8</v>
      </c>
    </row>
    <row r="1245" spans="1:5" ht="12.75" customHeight="1" x14ac:dyDescent="0.3">
      <c r="A1245" s="2" t="s">
        <v>2522</v>
      </c>
      <c r="B1245" s="2" t="s">
        <v>78</v>
      </c>
      <c r="C1245" s="3" t="str">
        <f>HYPERLINK("https://springer.com/11940")</f>
        <v>https://springer.com/11940</v>
      </c>
      <c r="D1245" s="2" t="s">
        <v>2523</v>
      </c>
      <c r="E1245" s="2" t="s">
        <v>8</v>
      </c>
    </row>
    <row r="1246" spans="1:5" ht="12.75" customHeight="1" x14ac:dyDescent="0.3">
      <c r="A1246" s="2" t="s">
        <v>2524</v>
      </c>
      <c r="B1246" s="2" t="s">
        <v>170</v>
      </c>
      <c r="C1246" s="3" t="str">
        <f>HYPERLINK("https://springer.com/11943")</f>
        <v>https://springer.com/11943</v>
      </c>
      <c r="D1246" s="2" t="s">
        <v>2525</v>
      </c>
      <c r="E1246" s="2" t="s">
        <v>8</v>
      </c>
    </row>
    <row r="1247" spans="1:5" ht="12.75" customHeight="1" x14ac:dyDescent="0.3">
      <c r="A1247" s="2" t="s">
        <v>2526</v>
      </c>
      <c r="B1247" s="2" t="s">
        <v>218</v>
      </c>
      <c r="C1247" s="3" t="str">
        <f>HYPERLINK("https://springer.com/11947")</f>
        <v>https://springer.com/11947</v>
      </c>
      <c r="D1247" s="2" t="s">
        <v>2527</v>
      </c>
      <c r="E1247" s="2" t="s">
        <v>8</v>
      </c>
    </row>
    <row r="1248" spans="1:5" ht="12.75" customHeight="1" x14ac:dyDescent="0.3">
      <c r="A1248" s="2" t="s">
        <v>2528</v>
      </c>
      <c r="B1248" s="2" t="s">
        <v>56</v>
      </c>
      <c r="C1248" s="3" t="str">
        <f>HYPERLINK("https://springer.com/11949")</f>
        <v>https://springer.com/11949</v>
      </c>
      <c r="D1248" s="2" t="s">
        <v>2529</v>
      </c>
      <c r="E1248" s="2"/>
    </row>
    <row r="1249" spans="1:5" ht="12.75" customHeight="1" x14ac:dyDescent="0.3">
      <c r="A1249" s="2" t="s">
        <v>2530</v>
      </c>
      <c r="B1249" s="2" t="s">
        <v>63</v>
      </c>
      <c r="C1249" s="3" t="str">
        <f>HYPERLINK("https://springer.com/11950")</f>
        <v>https://springer.com/11950</v>
      </c>
      <c r="D1249" s="2" t="s">
        <v>2531</v>
      </c>
      <c r="E1249" s="2"/>
    </row>
    <row r="1250" spans="1:5" ht="12.75" customHeight="1" x14ac:dyDescent="0.3">
      <c r="A1250" s="2" t="s">
        <v>2532</v>
      </c>
      <c r="B1250" s="2" t="s">
        <v>63</v>
      </c>
      <c r="C1250" s="3" t="str">
        <f>HYPERLINK("https://springer.com/11952")</f>
        <v>https://springer.com/11952</v>
      </c>
      <c r="D1250" s="2" t="s">
        <v>2533</v>
      </c>
      <c r="E1250" s="2"/>
    </row>
    <row r="1251" spans="1:5" ht="12.75" customHeight="1" x14ac:dyDescent="0.3">
      <c r="A1251" s="2" t="s">
        <v>2534</v>
      </c>
      <c r="B1251" s="2" t="s">
        <v>13</v>
      </c>
      <c r="C1251" s="3" t="str">
        <f>HYPERLINK("https://springer.com/11953")</f>
        <v>https://springer.com/11953</v>
      </c>
      <c r="D1251" s="2" t="s">
        <v>2535</v>
      </c>
      <c r="E1251" s="2"/>
    </row>
    <row r="1252" spans="1:5" ht="12.75" customHeight="1" x14ac:dyDescent="0.3">
      <c r="A1252" s="2" t="s">
        <v>2536</v>
      </c>
      <c r="B1252" s="2" t="s">
        <v>13</v>
      </c>
      <c r="C1252" s="3" t="str">
        <f>HYPERLINK("https://springer.com/11954")</f>
        <v>https://springer.com/11954</v>
      </c>
      <c r="D1252" s="2" t="s">
        <v>2537</v>
      </c>
      <c r="E1252" s="2"/>
    </row>
    <row r="1253" spans="1:5" ht="12.75" customHeight="1" x14ac:dyDescent="0.3">
      <c r="A1253" s="2" t="s">
        <v>2538</v>
      </c>
      <c r="B1253" s="2" t="s">
        <v>218</v>
      </c>
      <c r="C1253" s="3" t="str">
        <f>HYPERLINK("https://springer.com/11955")</f>
        <v>https://springer.com/11955</v>
      </c>
      <c r="D1253" s="2" t="s">
        <v>2539</v>
      </c>
      <c r="E1253" s="2"/>
    </row>
    <row r="1254" spans="1:5" ht="12.75" customHeight="1" x14ac:dyDescent="0.3">
      <c r="A1254" s="2" t="s">
        <v>2540</v>
      </c>
      <c r="B1254" s="2" t="s">
        <v>20</v>
      </c>
      <c r="C1254" s="3" t="str">
        <f>HYPERLINK("https://springer.com/11956")</f>
        <v>https://springer.com/11956</v>
      </c>
      <c r="D1254" s="2" t="s">
        <v>2541</v>
      </c>
      <c r="E1254" s="2"/>
    </row>
    <row r="1255" spans="1:5" ht="12.75" customHeight="1" x14ac:dyDescent="0.3">
      <c r="A1255" s="2" t="s">
        <v>2542</v>
      </c>
      <c r="B1255" s="2" t="s">
        <v>10</v>
      </c>
      <c r="C1255" s="3" t="str">
        <f>HYPERLINK("https://springer.com/11957")</f>
        <v>https://springer.com/11957</v>
      </c>
      <c r="D1255" s="2" t="s">
        <v>2543</v>
      </c>
      <c r="E1255" s="2"/>
    </row>
    <row r="1256" spans="1:5" ht="12.75" customHeight="1" x14ac:dyDescent="0.3">
      <c r="A1256" s="2" t="s">
        <v>2544</v>
      </c>
      <c r="B1256" s="2" t="s">
        <v>13</v>
      </c>
      <c r="C1256" s="3" t="str">
        <f>HYPERLINK("https://springer.com/11958")</f>
        <v>https://springer.com/11958</v>
      </c>
      <c r="D1256" s="2" t="s">
        <v>2545</v>
      </c>
      <c r="E1256" s="2"/>
    </row>
    <row r="1257" spans="1:5" ht="12.75" customHeight="1" x14ac:dyDescent="0.3">
      <c r="A1257" s="2" t="s">
        <v>2546</v>
      </c>
      <c r="B1257" s="2" t="s">
        <v>13</v>
      </c>
      <c r="C1257" s="3" t="str">
        <f>HYPERLINK("https://springer.com/11959")</f>
        <v>https://springer.com/11959</v>
      </c>
      <c r="D1257" s="2" t="s">
        <v>2547</v>
      </c>
      <c r="E1257" s="2"/>
    </row>
    <row r="1258" spans="1:5" ht="12.75" customHeight="1" x14ac:dyDescent="0.3">
      <c r="A1258" s="2" t="s">
        <v>2548</v>
      </c>
      <c r="B1258" s="2" t="s">
        <v>218</v>
      </c>
      <c r="C1258" s="3" t="str">
        <f>HYPERLINK("https://springer.com/11961")</f>
        <v>https://springer.com/11961</v>
      </c>
      <c r="D1258" s="2" t="s">
        <v>2549</v>
      </c>
      <c r="E1258" s="2"/>
    </row>
    <row r="1259" spans="1:5" ht="12.75" customHeight="1" x14ac:dyDescent="0.3">
      <c r="A1259" s="2" t="s">
        <v>2550</v>
      </c>
      <c r="B1259" s="2" t="s">
        <v>133</v>
      </c>
      <c r="C1259" s="3" t="str">
        <f>HYPERLINK("https://springer.com/11962")</f>
        <v>https://springer.com/11962</v>
      </c>
      <c r="D1259" s="2" t="s">
        <v>2551</v>
      </c>
      <c r="E1259" s="2"/>
    </row>
    <row r="1260" spans="1:5" ht="12.75" customHeight="1" x14ac:dyDescent="0.3">
      <c r="A1260" s="2" t="s">
        <v>2552</v>
      </c>
      <c r="B1260" s="2" t="s">
        <v>13</v>
      </c>
      <c r="C1260" s="3" t="str">
        <f>HYPERLINK("https://springer.com/11963")</f>
        <v>https://springer.com/11963</v>
      </c>
      <c r="D1260" s="2" t="s">
        <v>2553</v>
      </c>
      <c r="E1260" s="2"/>
    </row>
    <row r="1261" spans="1:5" ht="12.75" customHeight="1" x14ac:dyDescent="0.3">
      <c r="A1261" s="2" t="s">
        <v>2554</v>
      </c>
      <c r="B1261" s="2" t="s">
        <v>13</v>
      </c>
      <c r="C1261" s="3" t="str">
        <f>HYPERLINK("https://springer.com/11964")</f>
        <v>https://springer.com/11964</v>
      </c>
      <c r="D1261" s="2" t="s">
        <v>2555</v>
      </c>
      <c r="E1261" s="2"/>
    </row>
    <row r="1262" spans="1:5" ht="12.75" customHeight="1" x14ac:dyDescent="0.3">
      <c r="A1262" s="2" t="s">
        <v>2556</v>
      </c>
      <c r="B1262" s="2" t="s">
        <v>6</v>
      </c>
      <c r="C1262" s="3" t="str">
        <f>HYPERLINK("https://springer.com/11965")</f>
        <v>https://springer.com/11965</v>
      </c>
      <c r="D1262" s="2" t="s">
        <v>2557</v>
      </c>
      <c r="E1262" s="2"/>
    </row>
    <row r="1263" spans="1:5" ht="12.75" customHeight="1" x14ac:dyDescent="0.3">
      <c r="A1263" s="2" t="s">
        <v>2558</v>
      </c>
      <c r="B1263" s="2" t="s">
        <v>6</v>
      </c>
      <c r="C1263" s="3" t="str">
        <f>HYPERLINK("https://springer.com/11966")</f>
        <v>https://springer.com/11966</v>
      </c>
      <c r="D1263" s="2" t="s">
        <v>2559</v>
      </c>
      <c r="E1263" s="2"/>
    </row>
    <row r="1264" spans="1:5" ht="12.75" customHeight="1" x14ac:dyDescent="0.3">
      <c r="A1264" s="2" t="s">
        <v>2560</v>
      </c>
      <c r="B1264" s="2" t="s">
        <v>218</v>
      </c>
      <c r="C1264" s="3" t="str">
        <f>HYPERLINK("https://springer.com/11967")</f>
        <v>https://springer.com/11967</v>
      </c>
      <c r="D1264" s="2" t="s">
        <v>2561</v>
      </c>
      <c r="E1264" s="2"/>
    </row>
    <row r="1265" spans="1:5" ht="12.75" customHeight="1" x14ac:dyDescent="0.3">
      <c r="A1265" s="2" t="s">
        <v>2562</v>
      </c>
      <c r="B1265" s="2" t="s">
        <v>10</v>
      </c>
      <c r="C1265" s="3" t="str">
        <f>HYPERLINK("https://springer.com/11968")</f>
        <v>https://springer.com/11968</v>
      </c>
      <c r="D1265" s="2" t="s">
        <v>2563</v>
      </c>
      <c r="E1265" s="2"/>
    </row>
    <row r="1266" spans="1:5" ht="12.75" customHeight="1" x14ac:dyDescent="0.3">
      <c r="A1266" s="2" t="s">
        <v>2564</v>
      </c>
      <c r="B1266" s="2" t="s">
        <v>26</v>
      </c>
      <c r="C1266" s="3" t="str">
        <f>HYPERLINK("https://springer.com/11969")</f>
        <v>https://springer.com/11969</v>
      </c>
      <c r="D1266" s="2" t="s">
        <v>2565</v>
      </c>
      <c r="E1266" s="2"/>
    </row>
    <row r="1267" spans="1:5" ht="12.75" customHeight="1" x14ac:dyDescent="0.3">
      <c r="A1267" s="2" t="s">
        <v>2566</v>
      </c>
      <c r="B1267" s="2" t="s">
        <v>10</v>
      </c>
      <c r="C1267" s="3" t="str">
        <f>HYPERLINK("https://springer.com/11970")</f>
        <v>https://springer.com/11970</v>
      </c>
      <c r="D1267" s="2" t="s">
        <v>2567</v>
      </c>
      <c r="E1267" s="2"/>
    </row>
    <row r="1268" spans="1:5" ht="12.75" customHeight="1" x14ac:dyDescent="0.3">
      <c r="A1268" s="2" t="s">
        <v>2568</v>
      </c>
      <c r="B1268" s="2" t="s">
        <v>13</v>
      </c>
      <c r="C1268" s="3" t="str">
        <f>HYPERLINK("https://springer.com/11971")</f>
        <v>https://springer.com/11971</v>
      </c>
      <c r="D1268" s="2" t="s">
        <v>2569</v>
      </c>
      <c r="E1268" s="2"/>
    </row>
    <row r="1269" spans="1:5" ht="12.75" customHeight="1" x14ac:dyDescent="0.3">
      <c r="A1269" s="2" t="s">
        <v>2570</v>
      </c>
      <c r="B1269" s="2" t="s">
        <v>13</v>
      </c>
      <c r="C1269" s="3" t="str">
        <f>HYPERLINK("https://springer.com/11972")</f>
        <v>https://springer.com/11972</v>
      </c>
      <c r="D1269" s="2" t="s">
        <v>2571</v>
      </c>
      <c r="E1269" s="2"/>
    </row>
    <row r="1270" spans="1:5" ht="12.75" customHeight="1" x14ac:dyDescent="0.3">
      <c r="A1270" s="2" t="s">
        <v>2572</v>
      </c>
      <c r="B1270" s="2" t="s">
        <v>26</v>
      </c>
      <c r="C1270" s="3" t="str">
        <f>HYPERLINK("https://springer.com/11973")</f>
        <v>https://springer.com/11973</v>
      </c>
      <c r="D1270" s="2" t="s">
        <v>2573</v>
      </c>
      <c r="E1270" s="2"/>
    </row>
    <row r="1271" spans="1:5" ht="12.75" customHeight="1" x14ac:dyDescent="0.3">
      <c r="A1271" s="2" t="s">
        <v>2574</v>
      </c>
      <c r="B1271" s="2" t="s">
        <v>13</v>
      </c>
      <c r="C1271" s="3" t="str">
        <f>HYPERLINK("https://springer.com/11974")</f>
        <v>https://springer.com/11974</v>
      </c>
      <c r="D1271" s="2" t="s">
        <v>2575</v>
      </c>
      <c r="E1271" s="2"/>
    </row>
    <row r="1272" spans="1:5" ht="12.75" customHeight="1" x14ac:dyDescent="0.3">
      <c r="A1272" s="2" t="s">
        <v>2576</v>
      </c>
      <c r="B1272" s="2" t="s">
        <v>13</v>
      </c>
      <c r="C1272" s="3" t="str">
        <f>HYPERLINK("https://springer.com/11975")</f>
        <v>https://springer.com/11975</v>
      </c>
      <c r="D1272" s="2" t="s">
        <v>2577</v>
      </c>
      <c r="E1272" s="2"/>
    </row>
    <row r="1273" spans="1:5" ht="12.75" customHeight="1" x14ac:dyDescent="0.3">
      <c r="A1273" s="2" t="s">
        <v>2578</v>
      </c>
      <c r="B1273" s="2" t="s">
        <v>56</v>
      </c>
      <c r="C1273" s="3" t="str">
        <f>HYPERLINK("https://springer.com/11976")</f>
        <v>https://springer.com/11976</v>
      </c>
      <c r="D1273" s="2" t="s">
        <v>2579</v>
      </c>
      <c r="E1273" s="2"/>
    </row>
    <row r="1274" spans="1:5" ht="12.75" customHeight="1" x14ac:dyDescent="0.3">
      <c r="A1274" s="2" t="s">
        <v>2580</v>
      </c>
      <c r="B1274" s="2" t="s">
        <v>56</v>
      </c>
      <c r="C1274" s="3" t="str">
        <f>HYPERLINK("https://springer.com/11977")</f>
        <v>https://springer.com/11977</v>
      </c>
      <c r="D1274" s="2" t="s">
        <v>2581</v>
      </c>
      <c r="E1274" s="2"/>
    </row>
    <row r="1275" spans="1:5" ht="12.75" customHeight="1" x14ac:dyDescent="0.3">
      <c r="A1275" s="2" t="s">
        <v>2582</v>
      </c>
      <c r="B1275" s="2" t="s">
        <v>6</v>
      </c>
      <c r="C1275" s="3" t="str">
        <f>HYPERLINK("https://springer.com/11978")</f>
        <v>https://springer.com/11978</v>
      </c>
      <c r="D1275" s="2" t="s">
        <v>2583</v>
      </c>
      <c r="E1275" s="2"/>
    </row>
    <row r="1276" spans="1:5" ht="12.75" customHeight="1" x14ac:dyDescent="0.3">
      <c r="A1276" s="2" t="s">
        <v>2584</v>
      </c>
      <c r="B1276" s="2" t="s">
        <v>56</v>
      </c>
      <c r="C1276" s="3" t="str">
        <f>HYPERLINK("https://springer.com/11979")</f>
        <v>https://springer.com/11979</v>
      </c>
      <c r="D1276" s="2" t="s">
        <v>2585</v>
      </c>
      <c r="E1276" s="2"/>
    </row>
    <row r="1277" spans="1:5" ht="12.75" customHeight="1" x14ac:dyDescent="0.3">
      <c r="A1277" s="2" t="s">
        <v>2586</v>
      </c>
      <c r="B1277" s="2" t="s">
        <v>56</v>
      </c>
      <c r="C1277" s="3" t="str">
        <f>HYPERLINK("https://springer.com/11980")</f>
        <v>https://springer.com/11980</v>
      </c>
      <c r="D1277" s="2" t="s">
        <v>2587</v>
      </c>
      <c r="E1277" s="2"/>
    </row>
    <row r="1278" spans="1:5" ht="12.75" customHeight="1" x14ac:dyDescent="0.3">
      <c r="A1278" s="2" t="s">
        <v>2588</v>
      </c>
      <c r="B1278" s="2" t="s">
        <v>396</v>
      </c>
      <c r="C1278" s="3" t="str">
        <f>HYPERLINK("https://springer.com/11981")</f>
        <v>https://springer.com/11981</v>
      </c>
      <c r="D1278" s="2" t="s">
        <v>2589</v>
      </c>
      <c r="E1278" s="2"/>
    </row>
    <row r="1279" spans="1:5" ht="12.75" customHeight="1" x14ac:dyDescent="0.3">
      <c r="A1279" s="2" t="s">
        <v>2590</v>
      </c>
      <c r="B1279" s="2" t="s">
        <v>10</v>
      </c>
      <c r="C1279" s="3" t="str">
        <f>HYPERLINK("https://springer.com/11982")</f>
        <v>https://springer.com/11982</v>
      </c>
      <c r="D1279" s="2" t="s">
        <v>2591</v>
      </c>
      <c r="E1279" s="2"/>
    </row>
    <row r="1280" spans="1:5" ht="12.75" customHeight="1" x14ac:dyDescent="0.3">
      <c r="A1280" s="2" t="s">
        <v>2592</v>
      </c>
      <c r="B1280" s="2" t="s">
        <v>26</v>
      </c>
      <c r="C1280" s="3" t="str">
        <f>HYPERLINK("https://springer.com/11983")</f>
        <v>https://springer.com/11983</v>
      </c>
      <c r="D1280" s="2" t="s">
        <v>2593</v>
      </c>
      <c r="E1280" s="2"/>
    </row>
    <row r="1281" spans="1:5" ht="12.75" customHeight="1" x14ac:dyDescent="0.3">
      <c r="A1281" s="2" t="s">
        <v>2594</v>
      </c>
      <c r="B1281" s="2" t="s">
        <v>63</v>
      </c>
      <c r="C1281" s="3" t="str">
        <f>HYPERLINK("https://springer.com/11984")</f>
        <v>https://springer.com/11984</v>
      </c>
      <c r="D1281" s="2" t="s">
        <v>2595</v>
      </c>
      <c r="E1281" s="2"/>
    </row>
    <row r="1282" spans="1:5" ht="12.75" customHeight="1" x14ac:dyDescent="0.3">
      <c r="A1282" s="2" t="s">
        <v>2596</v>
      </c>
      <c r="B1282" s="2" t="s">
        <v>218</v>
      </c>
      <c r="C1282" s="3" t="str">
        <f>HYPERLINK("https://springer.com/11985")</f>
        <v>https://springer.com/11985</v>
      </c>
      <c r="D1282" s="2" t="s">
        <v>2597</v>
      </c>
      <c r="E1282" s="2"/>
    </row>
    <row r="1283" spans="1:5" ht="12.75" customHeight="1" x14ac:dyDescent="0.3">
      <c r="A1283" s="2" t="s">
        <v>2598</v>
      </c>
      <c r="B1283" s="2" t="s">
        <v>396</v>
      </c>
      <c r="C1283" s="3" t="str">
        <f>HYPERLINK("https://springer.com/11986")</f>
        <v>https://springer.com/11986</v>
      </c>
      <c r="D1283" s="2" t="s">
        <v>2599</v>
      </c>
      <c r="E1283" s="2"/>
    </row>
    <row r="1284" spans="1:5" ht="12.75" customHeight="1" x14ac:dyDescent="0.3">
      <c r="A1284" s="2" t="s">
        <v>2600</v>
      </c>
      <c r="B1284" s="2" t="s">
        <v>56</v>
      </c>
      <c r="C1284" s="3" t="str">
        <f>HYPERLINK("https://springer.com/11987")</f>
        <v>https://springer.com/11987</v>
      </c>
      <c r="D1284" s="2" t="s">
        <v>2601</v>
      </c>
      <c r="E1284" s="2"/>
    </row>
    <row r="1285" spans="1:5" ht="12.75" customHeight="1" x14ac:dyDescent="0.3">
      <c r="A1285" s="2" t="s">
        <v>2602</v>
      </c>
      <c r="B1285" s="2" t="s">
        <v>10</v>
      </c>
      <c r="C1285" s="3" t="str">
        <f>HYPERLINK("https://springer.com/11988")</f>
        <v>https://springer.com/11988</v>
      </c>
      <c r="D1285" s="2" t="s">
        <v>2603</v>
      </c>
      <c r="E1285" s="2"/>
    </row>
    <row r="1286" spans="1:5" ht="12.75" customHeight="1" x14ac:dyDescent="0.3">
      <c r="A1286" s="2" t="s">
        <v>2604</v>
      </c>
      <c r="B1286" s="2" t="s">
        <v>26</v>
      </c>
      <c r="C1286" s="3" t="str">
        <f>HYPERLINK("https://springer.com/11990")</f>
        <v>https://springer.com/11990</v>
      </c>
      <c r="D1286" s="2" t="s">
        <v>2605</v>
      </c>
      <c r="E1286" s="2"/>
    </row>
    <row r="1287" spans="1:5" ht="12.75" customHeight="1" x14ac:dyDescent="0.3">
      <c r="A1287" s="2" t="s">
        <v>2606</v>
      </c>
      <c r="B1287" s="2" t="s">
        <v>396</v>
      </c>
      <c r="C1287" s="3" t="str">
        <f>HYPERLINK("https://springer.com/11998")</f>
        <v>https://springer.com/11998</v>
      </c>
      <c r="D1287" s="2" t="s">
        <v>2607</v>
      </c>
      <c r="E1287" s="2" t="s">
        <v>8</v>
      </c>
    </row>
    <row r="1288" spans="1:5" ht="12.75" customHeight="1" x14ac:dyDescent="0.3">
      <c r="A1288" s="2" t="s">
        <v>2608</v>
      </c>
      <c r="B1288" s="2" t="s">
        <v>56</v>
      </c>
      <c r="C1288" s="3" t="str">
        <f>HYPERLINK("https://springer.com/12001")</f>
        <v>https://springer.com/12001</v>
      </c>
      <c r="D1288" s="2" t="s">
        <v>2609</v>
      </c>
      <c r="E1288" s="2"/>
    </row>
    <row r="1289" spans="1:5" ht="12.75" customHeight="1" x14ac:dyDescent="0.3">
      <c r="A1289" s="2" t="s">
        <v>2610</v>
      </c>
      <c r="B1289" s="2" t="s">
        <v>10</v>
      </c>
      <c r="C1289" s="3" t="str">
        <f>HYPERLINK("https://springer.com/12002")</f>
        <v>https://springer.com/12002</v>
      </c>
      <c r="D1289" s="2" t="s">
        <v>2611</v>
      </c>
      <c r="E1289" s="2"/>
    </row>
    <row r="1290" spans="1:5" ht="12.75" customHeight="1" x14ac:dyDescent="0.3">
      <c r="A1290" s="2" t="s">
        <v>2612</v>
      </c>
      <c r="B1290" s="2" t="s">
        <v>396</v>
      </c>
      <c r="C1290" s="3" t="str">
        <f>HYPERLINK("https://springer.com/12003")</f>
        <v>https://springer.com/12003</v>
      </c>
      <c r="D1290" s="2" t="s">
        <v>2613</v>
      </c>
      <c r="E1290" s="2"/>
    </row>
    <row r="1291" spans="1:5" ht="12.75" customHeight="1" x14ac:dyDescent="0.3">
      <c r="A1291" s="2" t="s">
        <v>2614</v>
      </c>
      <c r="B1291" s="2" t="s">
        <v>170</v>
      </c>
      <c r="C1291" s="3" t="str">
        <f>HYPERLINK("https://springer.com/12004")</f>
        <v>https://springer.com/12004</v>
      </c>
      <c r="D1291" s="2" t="s">
        <v>2615</v>
      </c>
      <c r="E1291" s="2"/>
    </row>
    <row r="1292" spans="1:5" ht="12.75" customHeight="1" x14ac:dyDescent="0.3">
      <c r="A1292" s="2" t="s">
        <v>2616</v>
      </c>
      <c r="B1292" s="2" t="s">
        <v>63</v>
      </c>
      <c r="C1292" s="3" t="str">
        <f>HYPERLINK("https://springer.com/12005")</f>
        <v>https://springer.com/12005</v>
      </c>
      <c r="D1292" s="2" t="s">
        <v>2617</v>
      </c>
      <c r="E1292" s="2"/>
    </row>
    <row r="1293" spans="1:5" ht="12.75" customHeight="1" x14ac:dyDescent="0.3">
      <c r="A1293" s="2" t="s">
        <v>2618</v>
      </c>
      <c r="B1293" s="2" t="s">
        <v>56</v>
      </c>
      <c r="C1293" s="3" t="str">
        <f>HYPERLINK("https://springer.com/12008")</f>
        <v>https://springer.com/12008</v>
      </c>
      <c r="D1293" s="2" t="s">
        <v>2619</v>
      </c>
      <c r="E1293" s="2" t="s">
        <v>8</v>
      </c>
    </row>
    <row r="1294" spans="1:5" ht="12.75" customHeight="1" x14ac:dyDescent="0.3">
      <c r="A1294" s="2" t="s">
        <v>2620</v>
      </c>
      <c r="B1294" s="2" t="s">
        <v>218</v>
      </c>
      <c r="C1294" s="3" t="str">
        <f>HYPERLINK("https://springer.com/12010")</f>
        <v>https://springer.com/12010</v>
      </c>
      <c r="D1294" s="2" t="s">
        <v>2621</v>
      </c>
      <c r="E1294" s="2" t="s">
        <v>8</v>
      </c>
    </row>
    <row r="1295" spans="1:5" ht="12.75" customHeight="1" x14ac:dyDescent="0.3">
      <c r="A1295" s="2" t="s">
        <v>2622</v>
      </c>
      <c r="B1295" s="2" t="s">
        <v>6</v>
      </c>
      <c r="C1295" s="3" t="str">
        <f>HYPERLINK("https://springer.com/12011")</f>
        <v>https://springer.com/12011</v>
      </c>
      <c r="D1295" s="2" t="s">
        <v>2623</v>
      </c>
      <c r="E1295" s="2" t="s">
        <v>8</v>
      </c>
    </row>
    <row r="1296" spans="1:5" ht="12.75" customHeight="1" x14ac:dyDescent="0.3">
      <c r="A1296" s="2" t="s">
        <v>2624</v>
      </c>
      <c r="B1296" s="2" t="s">
        <v>20</v>
      </c>
      <c r="C1296" s="3" t="str">
        <f>HYPERLINK("https://springer.com/12012")</f>
        <v>https://springer.com/12012</v>
      </c>
      <c r="D1296" s="2" t="s">
        <v>2625</v>
      </c>
      <c r="E1296" s="2" t="s">
        <v>8</v>
      </c>
    </row>
    <row r="1297" spans="1:5" ht="12.75" customHeight="1" x14ac:dyDescent="0.3">
      <c r="A1297" s="2" t="s">
        <v>2626</v>
      </c>
      <c r="B1297" s="2" t="s">
        <v>6</v>
      </c>
      <c r="C1297" s="3" t="str">
        <f>HYPERLINK("https://springer.com/12013")</f>
        <v>https://springer.com/12013</v>
      </c>
      <c r="D1297" s="2" t="s">
        <v>2627</v>
      </c>
      <c r="E1297" s="2" t="s">
        <v>8</v>
      </c>
    </row>
    <row r="1298" spans="1:5" ht="12.75" customHeight="1" x14ac:dyDescent="0.3">
      <c r="A1298" s="2" t="s">
        <v>2628</v>
      </c>
      <c r="B1298" s="2" t="s">
        <v>6</v>
      </c>
      <c r="C1298" s="3" t="str">
        <f>HYPERLINK("https://springer.com/12015")</f>
        <v>https://springer.com/12015</v>
      </c>
      <c r="D1298" s="2" t="s">
        <v>2629</v>
      </c>
      <c r="E1298" s="2" t="s">
        <v>8</v>
      </c>
    </row>
    <row r="1299" spans="1:5" ht="12.75" customHeight="1" x14ac:dyDescent="0.3">
      <c r="A1299" s="2" t="s">
        <v>2630</v>
      </c>
      <c r="B1299" s="2" t="s">
        <v>78</v>
      </c>
      <c r="C1299" s="3" t="str">
        <f>HYPERLINK("https://springer.com/12016")</f>
        <v>https://springer.com/12016</v>
      </c>
      <c r="D1299" s="2" t="s">
        <v>2631</v>
      </c>
      <c r="E1299" s="2" t="s">
        <v>8</v>
      </c>
    </row>
    <row r="1300" spans="1:5" ht="12.75" customHeight="1" x14ac:dyDescent="0.3">
      <c r="A1300" s="2" t="s">
        <v>2632</v>
      </c>
      <c r="B1300" s="2" t="s">
        <v>20</v>
      </c>
      <c r="C1300" s="3" t="str">
        <f>HYPERLINK("https://springer.com/12017")</f>
        <v>https://springer.com/12017</v>
      </c>
      <c r="D1300" s="2" t="s">
        <v>2633</v>
      </c>
      <c r="E1300" s="2" t="s">
        <v>8</v>
      </c>
    </row>
    <row r="1301" spans="1:5" ht="12.75" customHeight="1" x14ac:dyDescent="0.3">
      <c r="A1301" s="2" t="s">
        <v>2634</v>
      </c>
      <c r="B1301" s="2" t="s">
        <v>78</v>
      </c>
      <c r="C1301" s="3" t="str">
        <f>HYPERLINK("https://springer.com/12018")</f>
        <v>https://springer.com/12018</v>
      </c>
      <c r="D1301" s="2" t="s">
        <v>2635</v>
      </c>
      <c r="E1301" s="2" t="s">
        <v>8</v>
      </c>
    </row>
    <row r="1302" spans="1:5" ht="12.75" customHeight="1" x14ac:dyDescent="0.3">
      <c r="A1302" s="2" t="s">
        <v>2636</v>
      </c>
      <c r="B1302" s="2" t="s">
        <v>78</v>
      </c>
      <c r="C1302" s="3" t="str">
        <f>HYPERLINK("https://springer.com/12020")</f>
        <v>https://springer.com/12020</v>
      </c>
      <c r="D1302" s="2" t="s">
        <v>2637</v>
      </c>
      <c r="E1302" s="2" t="s">
        <v>8</v>
      </c>
    </row>
    <row r="1303" spans="1:5" ht="12.75" customHeight="1" x14ac:dyDescent="0.3">
      <c r="A1303" s="2" t="s">
        <v>2638</v>
      </c>
      <c r="B1303" s="2" t="s">
        <v>20</v>
      </c>
      <c r="C1303" s="3" t="str">
        <f>HYPERLINK("https://springer.com/12021")</f>
        <v>https://springer.com/12021</v>
      </c>
      <c r="D1303" s="2" t="s">
        <v>2639</v>
      </c>
      <c r="E1303" s="2" t="s">
        <v>8</v>
      </c>
    </row>
    <row r="1304" spans="1:5" ht="12.75" customHeight="1" x14ac:dyDescent="0.3">
      <c r="A1304" s="2" t="s">
        <v>2640</v>
      </c>
      <c r="B1304" s="2" t="s">
        <v>78</v>
      </c>
      <c r="C1304" s="3" t="str">
        <f>HYPERLINK("https://springer.com/12022")</f>
        <v>https://springer.com/12022</v>
      </c>
      <c r="D1304" s="2" t="s">
        <v>2641</v>
      </c>
      <c r="E1304" s="2" t="s">
        <v>8</v>
      </c>
    </row>
    <row r="1305" spans="1:5" ht="12.75" customHeight="1" x14ac:dyDescent="0.3">
      <c r="A1305" s="2" t="s">
        <v>2642</v>
      </c>
      <c r="B1305" s="2" t="s">
        <v>78</v>
      </c>
      <c r="C1305" s="3" t="str">
        <f>HYPERLINK("https://springer.com/12024")</f>
        <v>https://springer.com/12024</v>
      </c>
      <c r="D1305" s="2" t="s">
        <v>2643</v>
      </c>
      <c r="E1305" s="2" t="s">
        <v>8</v>
      </c>
    </row>
    <row r="1306" spans="1:5" ht="12.75" customHeight="1" x14ac:dyDescent="0.3">
      <c r="A1306" s="2" t="s">
        <v>2644</v>
      </c>
      <c r="B1306" s="2" t="s">
        <v>20</v>
      </c>
      <c r="C1306" s="3" t="str">
        <f>HYPERLINK("https://springer.com/12026")</f>
        <v>https://springer.com/12026</v>
      </c>
      <c r="D1306" s="2" t="s">
        <v>2645</v>
      </c>
      <c r="E1306" s="2" t="s">
        <v>8</v>
      </c>
    </row>
    <row r="1307" spans="1:5" ht="12.75" customHeight="1" x14ac:dyDescent="0.3">
      <c r="A1307" s="2" t="s">
        <v>2646</v>
      </c>
      <c r="B1307" s="2" t="s">
        <v>347</v>
      </c>
      <c r="C1307" s="3" t="str">
        <f>HYPERLINK("https://springer.com/12027")</f>
        <v>https://springer.com/12027</v>
      </c>
      <c r="D1307" s="2" t="s">
        <v>2647</v>
      </c>
      <c r="E1307" s="2" t="s">
        <v>8</v>
      </c>
    </row>
    <row r="1308" spans="1:5" ht="12.75" customHeight="1" x14ac:dyDescent="0.3">
      <c r="A1308" s="2" t="s">
        <v>2648</v>
      </c>
      <c r="B1308" s="2" t="s">
        <v>78</v>
      </c>
      <c r="C1308" s="3" t="str">
        <f>HYPERLINK("https://springer.com/12028")</f>
        <v>https://springer.com/12028</v>
      </c>
      <c r="D1308" s="2" t="s">
        <v>2649</v>
      </c>
      <c r="E1308" s="2" t="s">
        <v>8</v>
      </c>
    </row>
    <row r="1309" spans="1:5" ht="12.75" customHeight="1" x14ac:dyDescent="0.3">
      <c r="A1309" s="2" t="s">
        <v>2650</v>
      </c>
      <c r="B1309" s="2" t="s">
        <v>78</v>
      </c>
      <c r="C1309" s="3" t="str">
        <f>HYPERLINK("https://springer.com/12029")</f>
        <v>https://springer.com/12029</v>
      </c>
      <c r="D1309" s="2" t="s">
        <v>2651</v>
      </c>
      <c r="E1309" s="2" t="s">
        <v>8</v>
      </c>
    </row>
    <row r="1310" spans="1:5" ht="12.75" customHeight="1" x14ac:dyDescent="0.3">
      <c r="A1310" s="2" t="s">
        <v>2652</v>
      </c>
      <c r="B1310" s="2" t="s">
        <v>20</v>
      </c>
      <c r="C1310" s="3" t="str">
        <f>HYPERLINK("https://springer.com/12031")</f>
        <v>https://springer.com/12031</v>
      </c>
      <c r="D1310" s="2" t="s">
        <v>2653</v>
      </c>
      <c r="E1310" s="2" t="s">
        <v>8</v>
      </c>
    </row>
    <row r="1311" spans="1:5" ht="12.75" customHeight="1" x14ac:dyDescent="0.3">
      <c r="A1311" s="2" t="s">
        <v>2654</v>
      </c>
      <c r="B1311" s="2" t="s">
        <v>78</v>
      </c>
      <c r="C1311" s="3" t="str">
        <f>HYPERLINK("https://springer.com/12032")</f>
        <v>https://springer.com/12032</v>
      </c>
      <c r="D1311" s="2" t="s">
        <v>2655</v>
      </c>
      <c r="E1311" s="2" t="s">
        <v>8</v>
      </c>
    </row>
    <row r="1312" spans="1:5" ht="12.75" customHeight="1" x14ac:dyDescent="0.3">
      <c r="A1312" s="2" t="s">
        <v>2656</v>
      </c>
      <c r="B1312" s="2" t="s">
        <v>218</v>
      </c>
      <c r="C1312" s="3" t="str">
        <f>HYPERLINK("https://springer.com/12033")</f>
        <v>https://springer.com/12033</v>
      </c>
      <c r="D1312" s="2" t="s">
        <v>2657</v>
      </c>
      <c r="E1312" s="2" t="s">
        <v>8</v>
      </c>
    </row>
    <row r="1313" spans="1:5" ht="12.75" customHeight="1" x14ac:dyDescent="0.3">
      <c r="A1313" s="2" t="s">
        <v>2658</v>
      </c>
      <c r="B1313" s="2" t="s">
        <v>20</v>
      </c>
      <c r="C1313" s="3" t="str">
        <f>HYPERLINK("https://springer.com/12035")</f>
        <v>https://springer.com/12035</v>
      </c>
      <c r="D1313" s="2" t="s">
        <v>2659</v>
      </c>
      <c r="E1313" s="2" t="s">
        <v>8</v>
      </c>
    </row>
    <row r="1314" spans="1:5" ht="12.75" customHeight="1" x14ac:dyDescent="0.3">
      <c r="A1314" s="2" t="s">
        <v>2660</v>
      </c>
      <c r="B1314" s="2" t="s">
        <v>6</v>
      </c>
      <c r="C1314" s="3" t="str">
        <f>HYPERLINK("https://springer.com/12042")</f>
        <v>https://springer.com/12042</v>
      </c>
      <c r="D1314" s="2" t="s">
        <v>2661</v>
      </c>
      <c r="E1314" s="2" t="s">
        <v>8</v>
      </c>
    </row>
    <row r="1315" spans="1:5" ht="12.75" customHeight="1" x14ac:dyDescent="0.3">
      <c r="A1315" s="2" t="s">
        <v>2662</v>
      </c>
      <c r="B1315" s="2" t="s">
        <v>1272</v>
      </c>
      <c r="C1315" s="3" t="str">
        <f>HYPERLINK("https://springer.com/12053")</f>
        <v>https://springer.com/12053</v>
      </c>
      <c r="D1315" s="2" t="s">
        <v>2663</v>
      </c>
      <c r="E1315" s="2" t="s">
        <v>8</v>
      </c>
    </row>
    <row r="1316" spans="1:5" ht="12.75" customHeight="1" x14ac:dyDescent="0.3">
      <c r="A1316" s="2" t="s">
        <v>2664</v>
      </c>
      <c r="B1316" s="2" t="s">
        <v>794</v>
      </c>
      <c r="C1316" s="3" t="str">
        <f>HYPERLINK("https://springer.com/12054")</f>
        <v>https://springer.com/12054</v>
      </c>
      <c r="D1316" s="2" t="s">
        <v>2665</v>
      </c>
      <c r="E1316" s="2" t="s">
        <v>8</v>
      </c>
    </row>
    <row r="1317" spans="1:5" ht="12.75" customHeight="1" x14ac:dyDescent="0.3">
      <c r="A1317" s="2" t="s">
        <v>2666</v>
      </c>
      <c r="B1317" s="2" t="s">
        <v>78</v>
      </c>
      <c r="C1317" s="3" t="str">
        <f>HYPERLINK("https://springer.com/12055")</f>
        <v>https://springer.com/12055</v>
      </c>
      <c r="D1317" s="2" t="s">
        <v>2667</v>
      </c>
      <c r="E1317" s="2" t="s">
        <v>8</v>
      </c>
    </row>
    <row r="1318" spans="1:5" ht="12.75" customHeight="1" x14ac:dyDescent="0.3">
      <c r="A1318" s="2" t="s">
        <v>2668</v>
      </c>
      <c r="B1318" s="2" t="s">
        <v>794</v>
      </c>
      <c r="C1318" s="3" t="str">
        <f>HYPERLINK("https://springer.com/12061")</f>
        <v>https://springer.com/12061</v>
      </c>
      <c r="D1318" s="2" t="s">
        <v>2669</v>
      </c>
      <c r="E1318" s="2" t="s">
        <v>8</v>
      </c>
    </row>
    <row r="1319" spans="1:5" ht="12.75" customHeight="1" x14ac:dyDescent="0.3">
      <c r="A1319" s="2" t="s">
        <v>2670</v>
      </c>
      <c r="B1319" s="2" t="s">
        <v>794</v>
      </c>
      <c r="C1319" s="3" t="str">
        <f>HYPERLINK("https://springer.com/12062")</f>
        <v>https://springer.com/12062</v>
      </c>
      <c r="D1319" s="2" t="s">
        <v>2671</v>
      </c>
      <c r="E1319" s="2" t="s">
        <v>8</v>
      </c>
    </row>
    <row r="1320" spans="1:5" ht="12.75" customHeight="1" x14ac:dyDescent="0.3">
      <c r="A1320" s="2" t="s">
        <v>2672</v>
      </c>
      <c r="B1320" s="2" t="s">
        <v>181</v>
      </c>
      <c r="C1320" s="3" t="str">
        <f>HYPERLINK("https://springer.com/12063")</f>
        <v>https://springer.com/12063</v>
      </c>
      <c r="D1320" s="2" t="s">
        <v>2673</v>
      </c>
      <c r="E1320" s="2" t="s">
        <v>8</v>
      </c>
    </row>
    <row r="1321" spans="1:5" ht="12.75" customHeight="1" x14ac:dyDescent="0.3">
      <c r="A1321" s="2" t="s">
        <v>2674</v>
      </c>
      <c r="B1321" s="2" t="s">
        <v>6</v>
      </c>
      <c r="C1321" s="3" t="str">
        <f>HYPERLINK("https://springer.com/12064")</f>
        <v>https://springer.com/12064</v>
      </c>
      <c r="D1321" s="2" t="s">
        <v>2675</v>
      </c>
      <c r="E1321" s="2" t="s">
        <v>8</v>
      </c>
    </row>
    <row r="1322" spans="1:5" ht="12.75" customHeight="1" x14ac:dyDescent="0.3">
      <c r="A1322" s="2" t="s">
        <v>2676</v>
      </c>
      <c r="B1322" s="2" t="s">
        <v>56</v>
      </c>
      <c r="C1322" s="3" t="str">
        <f>HYPERLINK("https://springer.com/12065")</f>
        <v>https://springer.com/12065</v>
      </c>
      <c r="D1322" s="2" t="s">
        <v>2677</v>
      </c>
      <c r="E1322" s="2" t="s">
        <v>8</v>
      </c>
    </row>
    <row r="1323" spans="1:5" ht="12.75" customHeight="1" x14ac:dyDescent="0.3">
      <c r="A1323" s="2" t="s">
        <v>2678</v>
      </c>
      <c r="B1323" s="2" t="s">
        <v>78</v>
      </c>
      <c r="C1323" s="3" t="str">
        <f>HYPERLINK("https://springer.com/12070")</f>
        <v>https://springer.com/12070</v>
      </c>
      <c r="D1323" s="2" t="s">
        <v>2679</v>
      </c>
      <c r="E1323" s="2" t="s">
        <v>8</v>
      </c>
    </row>
    <row r="1324" spans="1:5" ht="12.75" customHeight="1" x14ac:dyDescent="0.3">
      <c r="A1324" s="2" t="s">
        <v>2680</v>
      </c>
      <c r="B1324" s="2" t="s">
        <v>78</v>
      </c>
      <c r="C1324" s="3" t="str">
        <f>HYPERLINK("https://springer.com/12072")</f>
        <v>https://springer.com/12072</v>
      </c>
      <c r="D1324" s="2" t="s">
        <v>2681</v>
      </c>
      <c r="E1324" s="2" t="s">
        <v>8</v>
      </c>
    </row>
    <row r="1325" spans="1:5" ht="12.75" customHeight="1" x14ac:dyDescent="0.3">
      <c r="A1325" s="2" t="s">
        <v>2682</v>
      </c>
      <c r="B1325" s="2" t="s">
        <v>151</v>
      </c>
      <c r="C1325" s="3" t="str">
        <f>HYPERLINK("https://springer.com/12076")</f>
        <v>https://springer.com/12076</v>
      </c>
      <c r="D1325" s="2" t="s">
        <v>2683</v>
      </c>
      <c r="E1325" s="2" t="s">
        <v>8</v>
      </c>
    </row>
    <row r="1326" spans="1:5" ht="12.75" customHeight="1" x14ac:dyDescent="0.3">
      <c r="A1326" s="2" t="s">
        <v>2684</v>
      </c>
      <c r="B1326" s="2" t="s">
        <v>6</v>
      </c>
      <c r="C1326" s="3" t="str">
        <f>HYPERLINK("https://springer.com/12080")</f>
        <v>https://springer.com/12080</v>
      </c>
      <c r="D1326" s="2" t="s">
        <v>2685</v>
      </c>
      <c r="E1326" s="2" t="s">
        <v>8</v>
      </c>
    </row>
    <row r="1327" spans="1:5" ht="12.75" customHeight="1" x14ac:dyDescent="0.3">
      <c r="A1327" s="2" t="s">
        <v>2686</v>
      </c>
      <c r="B1327" s="2" t="s">
        <v>56</v>
      </c>
      <c r="C1327" s="3" t="str">
        <f>HYPERLINK("https://springer.com/12083")</f>
        <v>https://springer.com/12083</v>
      </c>
      <c r="D1327" s="2" t="s">
        <v>2687</v>
      </c>
      <c r="E1327" s="2" t="s">
        <v>8</v>
      </c>
    </row>
    <row r="1328" spans="1:5" ht="12.75" customHeight="1" x14ac:dyDescent="0.3">
      <c r="A1328" s="2" t="s">
        <v>2688</v>
      </c>
      <c r="B1328" s="2" t="s">
        <v>6</v>
      </c>
      <c r="C1328" s="3" t="str">
        <f>HYPERLINK("https://springer.com/12088")</f>
        <v>https://springer.com/12088</v>
      </c>
      <c r="D1328" s="2" t="s">
        <v>2689</v>
      </c>
      <c r="E1328" s="2" t="s">
        <v>8</v>
      </c>
    </row>
    <row r="1329" spans="1:5" ht="12.75" customHeight="1" x14ac:dyDescent="0.3">
      <c r="A1329" s="2" t="s">
        <v>2690</v>
      </c>
      <c r="B1329" s="2" t="s">
        <v>78</v>
      </c>
      <c r="C1329" s="3" t="str">
        <f>HYPERLINK("https://springer.com/12094")</f>
        <v>https://springer.com/12094</v>
      </c>
      <c r="D1329" s="2" t="s">
        <v>2691</v>
      </c>
      <c r="E1329" s="2" t="s">
        <v>8</v>
      </c>
    </row>
    <row r="1330" spans="1:5" ht="12.75" customHeight="1" x14ac:dyDescent="0.3">
      <c r="A1330" s="2" t="s">
        <v>2692</v>
      </c>
      <c r="B1330" s="2" t="s">
        <v>63</v>
      </c>
      <c r="C1330" s="3" t="str">
        <f>HYPERLINK("https://springer.com/12095")</f>
        <v>https://springer.com/12095</v>
      </c>
      <c r="D1330" s="2" t="s">
        <v>2693</v>
      </c>
      <c r="E1330" s="2" t="s">
        <v>8</v>
      </c>
    </row>
    <row r="1331" spans="1:5" ht="12.75" customHeight="1" x14ac:dyDescent="0.3">
      <c r="A1331" s="2" t="s">
        <v>2694</v>
      </c>
      <c r="B1331" s="2" t="s">
        <v>78</v>
      </c>
      <c r="C1331" s="3" t="str">
        <f>HYPERLINK("https://springer.com/12098")</f>
        <v>https://springer.com/12098</v>
      </c>
      <c r="D1331" s="2" t="s">
        <v>2695</v>
      </c>
      <c r="E1331" s="2" t="s">
        <v>8</v>
      </c>
    </row>
    <row r="1332" spans="1:5" ht="12.75" customHeight="1" x14ac:dyDescent="0.3">
      <c r="A1332" s="2" t="s">
        <v>2696</v>
      </c>
      <c r="B1332" s="2" t="s">
        <v>1076</v>
      </c>
      <c r="C1332" s="3" t="str">
        <f>HYPERLINK("https://springer.com/12103")</f>
        <v>https://springer.com/12103</v>
      </c>
      <c r="D1332" s="2" t="s">
        <v>2697</v>
      </c>
      <c r="E1332" s="2" t="s">
        <v>8</v>
      </c>
    </row>
    <row r="1333" spans="1:5" ht="12.75" customHeight="1" x14ac:dyDescent="0.3">
      <c r="A1333" s="2" t="s">
        <v>2698</v>
      </c>
      <c r="B1333" s="2" t="s">
        <v>13</v>
      </c>
      <c r="C1333" s="3" t="str">
        <f>HYPERLINK("https://springer.com/12104")</f>
        <v>https://springer.com/12104</v>
      </c>
      <c r="D1333" s="2" t="s">
        <v>2699</v>
      </c>
      <c r="E1333" s="2" t="s">
        <v>8</v>
      </c>
    </row>
    <row r="1334" spans="1:5" ht="12.75" customHeight="1" x14ac:dyDescent="0.3">
      <c r="A1334" s="2" t="s">
        <v>2700</v>
      </c>
      <c r="B1334" s="2" t="s">
        <v>78</v>
      </c>
      <c r="C1334" s="3" t="str">
        <f>HYPERLINK("https://springer.com/12105")</f>
        <v>https://springer.com/12105</v>
      </c>
      <c r="D1334" s="2" t="s">
        <v>2701</v>
      </c>
      <c r="E1334" s="2" t="s">
        <v>8</v>
      </c>
    </row>
    <row r="1335" spans="1:5" ht="12.75" customHeight="1" x14ac:dyDescent="0.3">
      <c r="A1335" s="2" t="s">
        <v>2702</v>
      </c>
      <c r="B1335" s="2" t="s">
        <v>794</v>
      </c>
      <c r="C1335" s="3" t="str">
        <f>HYPERLINK("https://springer.com/12108")</f>
        <v>https://springer.com/12108</v>
      </c>
      <c r="D1335" s="2" t="s">
        <v>2703</v>
      </c>
      <c r="E1335" s="2" t="s">
        <v>8</v>
      </c>
    </row>
    <row r="1336" spans="1:5" ht="12.75" customHeight="1" x14ac:dyDescent="0.3">
      <c r="A1336" s="2" t="s">
        <v>2704</v>
      </c>
      <c r="B1336" s="2" t="s">
        <v>794</v>
      </c>
      <c r="C1336" s="3" t="str">
        <f>HYPERLINK("https://springer.com/12109")</f>
        <v>https://springer.com/12109</v>
      </c>
      <c r="D1336" s="2" t="s">
        <v>2705</v>
      </c>
      <c r="E1336" s="2" t="s">
        <v>8</v>
      </c>
    </row>
    <row r="1337" spans="1:5" ht="12.75" customHeight="1" x14ac:dyDescent="0.3">
      <c r="A1337" s="2" t="s">
        <v>2706</v>
      </c>
      <c r="B1337" s="2" t="s">
        <v>794</v>
      </c>
      <c r="C1337" s="3" t="str">
        <f>HYPERLINK("https://springer.com/12110")</f>
        <v>https://springer.com/12110</v>
      </c>
      <c r="D1337" s="2" t="s">
        <v>2707</v>
      </c>
      <c r="E1337" s="2" t="s">
        <v>8</v>
      </c>
    </row>
    <row r="1338" spans="1:5" ht="12.75" customHeight="1" x14ac:dyDescent="0.3">
      <c r="A1338" s="2" t="s">
        <v>2708</v>
      </c>
      <c r="B1338" s="2" t="s">
        <v>794</v>
      </c>
      <c r="C1338" s="3" t="str">
        <f>HYPERLINK("https://springer.com/12111")</f>
        <v>https://springer.com/12111</v>
      </c>
      <c r="D1338" s="2" t="s">
        <v>2709</v>
      </c>
      <c r="E1338" s="2" t="s">
        <v>8</v>
      </c>
    </row>
    <row r="1339" spans="1:5" ht="12.75" customHeight="1" x14ac:dyDescent="0.3">
      <c r="A1339" s="2" t="s">
        <v>2710</v>
      </c>
      <c r="B1339" s="2" t="s">
        <v>794</v>
      </c>
      <c r="C1339" s="3" t="str">
        <f>HYPERLINK("https://springer.com/12115")</f>
        <v>https://springer.com/12115</v>
      </c>
      <c r="D1339" s="2" t="s">
        <v>2711</v>
      </c>
      <c r="E1339" s="2" t="s">
        <v>8</v>
      </c>
    </row>
    <row r="1340" spans="1:5" ht="12.75" customHeight="1" x14ac:dyDescent="0.3">
      <c r="A1340" s="2" t="s">
        <v>2712</v>
      </c>
      <c r="B1340" s="2" t="s">
        <v>794</v>
      </c>
      <c r="C1340" s="3" t="str">
        <f>HYPERLINK("https://springer.com/12116")</f>
        <v>https://springer.com/12116</v>
      </c>
      <c r="D1340" s="2" t="s">
        <v>2713</v>
      </c>
      <c r="E1340" s="2" t="s">
        <v>8</v>
      </c>
    </row>
    <row r="1341" spans="1:5" ht="12.75" customHeight="1" x14ac:dyDescent="0.3">
      <c r="A1341" s="2" t="s">
        <v>2714</v>
      </c>
      <c r="B1341" s="2" t="s">
        <v>1076</v>
      </c>
      <c r="C1341" s="3" t="str">
        <f>HYPERLINK("https://springer.com/12117")</f>
        <v>https://springer.com/12117</v>
      </c>
      <c r="D1341" s="2" t="s">
        <v>2715</v>
      </c>
      <c r="E1341" s="2" t="s">
        <v>8</v>
      </c>
    </row>
    <row r="1342" spans="1:5" ht="12.75" customHeight="1" x14ac:dyDescent="0.3">
      <c r="A1342" s="2" t="s">
        <v>2716</v>
      </c>
      <c r="B1342" s="2" t="s">
        <v>794</v>
      </c>
      <c r="C1342" s="3" t="str">
        <f>HYPERLINK("https://springer.com/12119")</f>
        <v>https://springer.com/12119</v>
      </c>
      <c r="D1342" s="2" t="s">
        <v>2717</v>
      </c>
      <c r="E1342" s="2" t="s">
        <v>8</v>
      </c>
    </row>
    <row r="1343" spans="1:5" ht="12.75" customHeight="1" x14ac:dyDescent="0.3">
      <c r="A1343" s="2" t="s">
        <v>2718</v>
      </c>
      <c r="B1343" s="2" t="s">
        <v>794</v>
      </c>
      <c r="C1343" s="3" t="str">
        <f>HYPERLINK("https://springer.com/12122")</f>
        <v>https://springer.com/12122</v>
      </c>
      <c r="D1343" s="2" t="s">
        <v>2719</v>
      </c>
      <c r="E1343" s="2" t="s">
        <v>8</v>
      </c>
    </row>
    <row r="1344" spans="1:5" ht="12.75" customHeight="1" x14ac:dyDescent="0.3">
      <c r="A1344" s="2" t="s">
        <v>2720</v>
      </c>
      <c r="B1344" s="2" t="s">
        <v>443</v>
      </c>
      <c r="C1344" s="3" t="str">
        <f>HYPERLINK("https://springer.com/12124")</f>
        <v>https://springer.com/12124</v>
      </c>
      <c r="D1344" s="2" t="s">
        <v>2721</v>
      </c>
      <c r="E1344" s="2" t="s">
        <v>8</v>
      </c>
    </row>
    <row r="1345" spans="1:5" ht="12.75" customHeight="1" x14ac:dyDescent="0.3">
      <c r="A1345" s="2" t="s">
        <v>2722</v>
      </c>
      <c r="B1345" s="2" t="s">
        <v>794</v>
      </c>
      <c r="C1345" s="3" t="str">
        <f>HYPERLINK("https://springer.com/12126")</f>
        <v>https://springer.com/12126</v>
      </c>
      <c r="D1345" s="2" t="s">
        <v>2723</v>
      </c>
      <c r="E1345" s="2" t="s">
        <v>8</v>
      </c>
    </row>
    <row r="1346" spans="1:5" ht="12.75" customHeight="1" x14ac:dyDescent="0.3">
      <c r="A1346" s="2" t="s">
        <v>2724</v>
      </c>
      <c r="B1346" s="2" t="s">
        <v>794</v>
      </c>
      <c r="C1346" s="3" t="str">
        <f>HYPERLINK("https://springer.com/12132")</f>
        <v>https://springer.com/12132</v>
      </c>
      <c r="D1346" s="2" t="s">
        <v>2725</v>
      </c>
      <c r="E1346" s="2" t="s">
        <v>8</v>
      </c>
    </row>
    <row r="1347" spans="1:5" ht="12.75" customHeight="1" x14ac:dyDescent="0.3">
      <c r="A1347" s="2" t="s">
        <v>2726</v>
      </c>
      <c r="B1347" s="2" t="s">
        <v>794</v>
      </c>
      <c r="C1347" s="3" t="str">
        <f>HYPERLINK("https://springer.com/12134")</f>
        <v>https://springer.com/12134</v>
      </c>
      <c r="D1347" s="2" t="s">
        <v>2727</v>
      </c>
      <c r="E1347" s="2" t="s">
        <v>8</v>
      </c>
    </row>
    <row r="1348" spans="1:5" ht="12.75" customHeight="1" x14ac:dyDescent="0.3">
      <c r="A1348" s="2" t="s">
        <v>2728</v>
      </c>
      <c r="B1348" s="2" t="s">
        <v>868</v>
      </c>
      <c r="C1348" s="3" t="str">
        <f>HYPERLINK("https://springer.com/12136")</f>
        <v>https://springer.com/12136</v>
      </c>
      <c r="D1348" s="2" t="s">
        <v>2729</v>
      </c>
      <c r="E1348" s="2" t="s">
        <v>8</v>
      </c>
    </row>
    <row r="1349" spans="1:5" ht="12.75" customHeight="1" x14ac:dyDescent="0.3">
      <c r="A1349" s="2" t="s">
        <v>2730</v>
      </c>
      <c r="B1349" s="2" t="s">
        <v>941</v>
      </c>
      <c r="C1349" s="3" t="str">
        <f>HYPERLINK("https://springer.com/12138")</f>
        <v>https://springer.com/12138</v>
      </c>
      <c r="D1349" s="2" t="s">
        <v>2731</v>
      </c>
      <c r="E1349" s="2" t="s">
        <v>8</v>
      </c>
    </row>
    <row r="1350" spans="1:5" ht="12.75" customHeight="1" x14ac:dyDescent="0.3">
      <c r="A1350" s="2" t="s">
        <v>2732</v>
      </c>
      <c r="B1350" s="2" t="s">
        <v>1063</v>
      </c>
      <c r="C1350" s="3" t="str">
        <f>HYPERLINK("https://springer.com/12140")</f>
        <v>https://springer.com/12140</v>
      </c>
      <c r="D1350" s="2" t="s">
        <v>2733</v>
      </c>
      <c r="E1350" s="2" t="s">
        <v>8</v>
      </c>
    </row>
    <row r="1351" spans="1:5" ht="12.75" customHeight="1" x14ac:dyDescent="0.3">
      <c r="A1351" s="2" t="s">
        <v>2734</v>
      </c>
      <c r="B1351" s="2" t="s">
        <v>868</v>
      </c>
      <c r="C1351" s="3" t="str">
        <f>HYPERLINK("https://springer.com/12142")</f>
        <v>https://springer.com/12142</v>
      </c>
      <c r="D1351" s="2" t="s">
        <v>2735</v>
      </c>
      <c r="E1351" s="2" t="s">
        <v>8</v>
      </c>
    </row>
    <row r="1352" spans="1:5" ht="12.75" customHeight="1" x14ac:dyDescent="0.3">
      <c r="A1352" s="2" t="s">
        <v>2736</v>
      </c>
      <c r="B1352" s="2" t="s">
        <v>443</v>
      </c>
      <c r="C1352" s="3" t="str">
        <f>HYPERLINK("https://springer.com/12144")</f>
        <v>https://springer.com/12144</v>
      </c>
      <c r="D1352" s="2" t="s">
        <v>2737</v>
      </c>
      <c r="E1352" s="2" t="s">
        <v>8</v>
      </c>
    </row>
    <row r="1353" spans="1:5" ht="12.75" customHeight="1" x14ac:dyDescent="0.3">
      <c r="A1353" s="2" t="s">
        <v>2738</v>
      </c>
      <c r="B1353" s="2" t="s">
        <v>26</v>
      </c>
      <c r="C1353" s="3" t="str">
        <f>HYPERLINK("https://springer.com/12145")</f>
        <v>https://springer.com/12145</v>
      </c>
      <c r="D1353" s="2" t="s">
        <v>2739</v>
      </c>
      <c r="E1353" s="2" t="s">
        <v>8</v>
      </c>
    </row>
    <row r="1354" spans="1:5" ht="12.75" customHeight="1" x14ac:dyDescent="0.3">
      <c r="A1354" s="2" t="s">
        <v>2740</v>
      </c>
      <c r="B1354" s="2" t="s">
        <v>794</v>
      </c>
      <c r="C1354" s="3" t="str">
        <f>HYPERLINK("https://springer.com/12147")</f>
        <v>https://springer.com/12147</v>
      </c>
      <c r="D1354" s="2" t="s">
        <v>2741</v>
      </c>
      <c r="E1354" s="2" t="s">
        <v>8</v>
      </c>
    </row>
    <row r="1355" spans="1:5" ht="12.75" customHeight="1" x14ac:dyDescent="0.3">
      <c r="A1355" s="2" t="s">
        <v>2742</v>
      </c>
      <c r="B1355" s="2" t="s">
        <v>78</v>
      </c>
      <c r="C1355" s="3" t="str">
        <f>HYPERLINK("https://springer.com/12149")</f>
        <v>https://springer.com/12149</v>
      </c>
      <c r="D1355" s="2" t="s">
        <v>2743</v>
      </c>
      <c r="E1355" s="2" t="s">
        <v>8</v>
      </c>
    </row>
    <row r="1356" spans="1:5" ht="12.75" customHeight="1" x14ac:dyDescent="0.3">
      <c r="A1356" s="2" t="s">
        <v>2744</v>
      </c>
      <c r="B1356" s="2" t="s">
        <v>868</v>
      </c>
      <c r="C1356" s="3" t="str">
        <f>HYPERLINK("https://springer.com/12152")</f>
        <v>https://springer.com/12152</v>
      </c>
      <c r="D1356" s="2" t="s">
        <v>2745</v>
      </c>
      <c r="E1356" s="2" t="s">
        <v>8</v>
      </c>
    </row>
    <row r="1357" spans="1:5" ht="12.75" customHeight="1" x14ac:dyDescent="0.3">
      <c r="A1357" s="2" t="s">
        <v>2746</v>
      </c>
      <c r="B1357" s="2" t="s">
        <v>6</v>
      </c>
      <c r="C1357" s="3" t="str">
        <f>HYPERLINK("https://springer.com/12155")</f>
        <v>https://springer.com/12155</v>
      </c>
      <c r="D1357" s="2" t="s">
        <v>2747</v>
      </c>
      <c r="E1357" s="2" t="s">
        <v>8</v>
      </c>
    </row>
    <row r="1358" spans="1:5" ht="12.75" customHeight="1" x14ac:dyDescent="0.3">
      <c r="A1358" s="2" t="s">
        <v>2748</v>
      </c>
      <c r="B1358" s="2" t="s">
        <v>218</v>
      </c>
      <c r="C1358" s="3" t="str">
        <f>HYPERLINK("https://springer.com/12161")</f>
        <v>https://springer.com/12161</v>
      </c>
      <c r="D1358" s="2" t="s">
        <v>2749</v>
      </c>
      <c r="E1358" s="2" t="s">
        <v>8</v>
      </c>
    </row>
    <row r="1359" spans="1:5" ht="12.75" customHeight="1" x14ac:dyDescent="0.3">
      <c r="A1359" s="2" t="s">
        <v>2750</v>
      </c>
      <c r="B1359" s="2" t="s">
        <v>78</v>
      </c>
      <c r="C1359" s="3" t="str">
        <f>HYPERLINK("https://springer.com/12170")</f>
        <v>https://springer.com/12170</v>
      </c>
      <c r="D1359" s="2" t="s">
        <v>2751</v>
      </c>
      <c r="E1359" s="2" t="s">
        <v>8</v>
      </c>
    </row>
    <row r="1360" spans="1:5" ht="12.75" customHeight="1" x14ac:dyDescent="0.3">
      <c r="A1360" s="2" t="s">
        <v>2752</v>
      </c>
      <c r="B1360" s="2" t="s">
        <v>78</v>
      </c>
      <c r="C1360" s="3" t="str">
        <f>HYPERLINK("https://springer.com/12178")</f>
        <v>https://springer.com/12178</v>
      </c>
      <c r="D1360" s="2" t="s">
        <v>2753</v>
      </c>
      <c r="E1360" s="2" t="s">
        <v>8</v>
      </c>
    </row>
    <row r="1361" spans="1:5" ht="12.75" customHeight="1" x14ac:dyDescent="0.3">
      <c r="A1361" s="2" t="s">
        <v>2754</v>
      </c>
      <c r="B1361" s="2" t="s">
        <v>78</v>
      </c>
      <c r="C1361" s="3" t="str">
        <f>HYPERLINK("https://springer.com/12181")</f>
        <v>https://springer.com/12181</v>
      </c>
      <c r="D1361" s="2" t="s">
        <v>2755</v>
      </c>
      <c r="E1361" s="2" t="s">
        <v>8</v>
      </c>
    </row>
    <row r="1362" spans="1:5" ht="12.75" customHeight="1" x14ac:dyDescent="0.3">
      <c r="A1362" s="2" t="s">
        <v>2756</v>
      </c>
      <c r="B1362" s="2" t="s">
        <v>78</v>
      </c>
      <c r="C1362" s="3" t="str">
        <f>HYPERLINK("https://springer.com/12185")</f>
        <v>https://springer.com/12185</v>
      </c>
      <c r="D1362" s="2" t="s">
        <v>2757</v>
      </c>
      <c r="E1362" s="2" t="s">
        <v>8</v>
      </c>
    </row>
    <row r="1363" spans="1:5" ht="12.75" customHeight="1" x14ac:dyDescent="0.3">
      <c r="A1363" s="2" t="s">
        <v>2758</v>
      </c>
      <c r="B1363" s="2" t="s">
        <v>794</v>
      </c>
      <c r="C1363" s="3" t="str">
        <f>HYPERLINK("https://springer.com/12187")</f>
        <v>https://springer.com/12187</v>
      </c>
      <c r="D1363" s="2" t="s">
        <v>2759</v>
      </c>
      <c r="E1363" s="2" t="s">
        <v>8</v>
      </c>
    </row>
    <row r="1364" spans="1:5" ht="12.75" customHeight="1" x14ac:dyDescent="0.3">
      <c r="A1364" s="2" t="s">
        <v>2760</v>
      </c>
      <c r="B1364" s="2" t="s">
        <v>10</v>
      </c>
      <c r="C1364" s="3" t="str">
        <f>HYPERLINK("https://springer.com/12188")</f>
        <v>https://springer.com/12188</v>
      </c>
      <c r="D1364" s="2" t="s">
        <v>2761</v>
      </c>
      <c r="E1364" s="2" t="s">
        <v>8</v>
      </c>
    </row>
    <row r="1365" spans="1:5" ht="12.75" customHeight="1" x14ac:dyDescent="0.3">
      <c r="A1365" s="2" t="s">
        <v>2762</v>
      </c>
      <c r="B1365" s="2" t="s">
        <v>10</v>
      </c>
      <c r="C1365" s="3" t="str">
        <f>HYPERLINK("https://springer.com/12190")</f>
        <v>https://springer.com/12190</v>
      </c>
      <c r="D1365" s="2" t="s">
        <v>2763</v>
      </c>
      <c r="E1365" s="2" t="s">
        <v>8</v>
      </c>
    </row>
    <row r="1366" spans="1:5" ht="12.75" customHeight="1" x14ac:dyDescent="0.3">
      <c r="A1366" s="2" t="s">
        <v>2764</v>
      </c>
      <c r="B1366" s="2" t="s">
        <v>63</v>
      </c>
      <c r="C1366" s="3" t="str">
        <f>HYPERLINK("https://springer.com/12193")</f>
        <v>https://springer.com/12193</v>
      </c>
      <c r="D1366" s="2" t="s">
        <v>2765</v>
      </c>
      <c r="E1366" s="2" t="s">
        <v>8</v>
      </c>
    </row>
    <row r="1367" spans="1:5" ht="12.75" customHeight="1" x14ac:dyDescent="0.3">
      <c r="A1367" s="2" t="s">
        <v>2766</v>
      </c>
      <c r="B1367" s="2" t="s">
        <v>78</v>
      </c>
      <c r="C1367" s="3" t="str">
        <f>HYPERLINK("https://springer.com/12194")</f>
        <v>https://springer.com/12194</v>
      </c>
      <c r="D1367" s="2" t="s">
        <v>2767</v>
      </c>
      <c r="E1367" s="2" t="s">
        <v>8</v>
      </c>
    </row>
    <row r="1368" spans="1:5" ht="12.75" customHeight="1" x14ac:dyDescent="0.3">
      <c r="A1368" s="2" t="s">
        <v>2768</v>
      </c>
      <c r="B1368" s="2" t="s">
        <v>56</v>
      </c>
      <c r="C1368" s="3" t="str">
        <f>HYPERLINK("https://springer.com/12195")</f>
        <v>https://springer.com/12195</v>
      </c>
      <c r="D1368" s="2" t="s">
        <v>2769</v>
      </c>
      <c r="E1368" s="2" t="s">
        <v>8</v>
      </c>
    </row>
    <row r="1369" spans="1:5" ht="12.75" customHeight="1" x14ac:dyDescent="0.3">
      <c r="A1369" s="2" t="s">
        <v>2770</v>
      </c>
      <c r="B1369" s="2" t="s">
        <v>151</v>
      </c>
      <c r="C1369" s="3" t="str">
        <f>HYPERLINK("https://springer.com/12197")</f>
        <v>https://springer.com/12197</v>
      </c>
      <c r="D1369" s="2" t="s">
        <v>2771</v>
      </c>
      <c r="E1369" s="2" t="s">
        <v>8</v>
      </c>
    </row>
    <row r="1370" spans="1:5" ht="12.75" customHeight="1" x14ac:dyDescent="0.3">
      <c r="A1370" s="2" t="s">
        <v>2772</v>
      </c>
      <c r="B1370" s="2" t="s">
        <v>181</v>
      </c>
      <c r="C1370" s="3" t="str">
        <f>HYPERLINK("https://springer.com/12198")</f>
        <v>https://springer.com/12198</v>
      </c>
      <c r="D1370" s="2" t="s">
        <v>2773</v>
      </c>
      <c r="E1370" s="2" t="s">
        <v>8</v>
      </c>
    </row>
    <row r="1371" spans="1:5" ht="12.75" customHeight="1" x14ac:dyDescent="0.3">
      <c r="A1371" s="2" t="s">
        <v>2774</v>
      </c>
      <c r="B1371" s="2" t="s">
        <v>396</v>
      </c>
      <c r="C1371" s="3" t="str">
        <f>HYPERLINK("https://springer.com/12201")</f>
        <v>https://springer.com/12201</v>
      </c>
      <c r="D1371" s="2" t="s">
        <v>2775</v>
      </c>
      <c r="E1371" s="2"/>
    </row>
    <row r="1372" spans="1:5" ht="12.75" customHeight="1" x14ac:dyDescent="0.3">
      <c r="A1372" s="2" t="s">
        <v>2776</v>
      </c>
      <c r="B1372" s="2" t="s">
        <v>10</v>
      </c>
      <c r="C1372" s="3" t="str">
        <f>HYPERLINK("https://springer.com/12202")</f>
        <v>https://springer.com/12202</v>
      </c>
      <c r="D1372" s="2" t="s">
        <v>2777</v>
      </c>
      <c r="E1372" s="2"/>
    </row>
    <row r="1373" spans="1:5" ht="12.75" customHeight="1" x14ac:dyDescent="0.3">
      <c r="A1373" s="2" t="s">
        <v>2778</v>
      </c>
      <c r="B1373" s="2" t="s">
        <v>56</v>
      </c>
      <c r="C1373" s="3" t="str">
        <f>HYPERLINK("https://springer.com/12204")</f>
        <v>https://springer.com/12204</v>
      </c>
      <c r="D1373" s="2" t="s">
        <v>2779</v>
      </c>
      <c r="E1373" s="2" t="s">
        <v>8</v>
      </c>
    </row>
    <row r="1374" spans="1:5" ht="12.75" customHeight="1" x14ac:dyDescent="0.3">
      <c r="A1374" s="2" t="s">
        <v>2780</v>
      </c>
      <c r="B1374" s="2" t="s">
        <v>443</v>
      </c>
      <c r="C1374" s="3" t="str">
        <f>HYPERLINK("https://springer.com/12207")</f>
        <v>https://springer.com/12207</v>
      </c>
      <c r="D1374" s="2" t="s">
        <v>2781</v>
      </c>
      <c r="E1374" s="2" t="s">
        <v>8</v>
      </c>
    </row>
    <row r="1375" spans="1:5" ht="12.75" customHeight="1" x14ac:dyDescent="0.3">
      <c r="A1375" s="2" t="s">
        <v>2782</v>
      </c>
      <c r="B1375" s="2" t="s">
        <v>181</v>
      </c>
      <c r="C1375" s="3" t="str">
        <f>HYPERLINK("https://springer.com/12208")</f>
        <v>https://springer.com/12208</v>
      </c>
      <c r="D1375" s="2" t="s">
        <v>2783</v>
      </c>
      <c r="E1375" s="2" t="s">
        <v>8</v>
      </c>
    </row>
    <row r="1376" spans="1:5" ht="12.75" customHeight="1" x14ac:dyDescent="0.3">
      <c r="A1376" s="2" t="s">
        <v>2784</v>
      </c>
      <c r="B1376" s="2" t="s">
        <v>56</v>
      </c>
      <c r="C1376" s="3" t="str">
        <f>HYPERLINK("https://springer.com/12209")</f>
        <v>https://springer.com/12209</v>
      </c>
      <c r="D1376" s="2" t="s">
        <v>2785</v>
      </c>
      <c r="E1376" s="2" t="s">
        <v>8</v>
      </c>
    </row>
    <row r="1377" spans="1:5" ht="12.75" customHeight="1" x14ac:dyDescent="0.3">
      <c r="A1377" s="2" t="s">
        <v>2786</v>
      </c>
      <c r="B1377" s="2" t="s">
        <v>133</v>
      </c>
      <c r="C1377" s="3" t="str">
        <f>HYPERLINK("https://springer.com/12210")</f>
        <v>https://springer.com/12210</v>
      </c>
      <c r="D1377" s="2" t="s">
        <v>2787</v>
      </c>
      <c r="E1377" s="2" t="s">
        <v>8</v>
      </c>
    </row>
    <row r="1378" spans="1:5" ht="12.75" customHeight="1" x14ac:dyDescent="0.3">
      <c r="A1378" s="2" t="s">
        <v>2788</v>
      </c>
      <c r="B1378" s="2" t="s">
        <v>6</v>
      </c>
      <c r="C1378" s="3" t="str">
        <f>HYPERLINK("https://springer.com/12212")</f>
        <v>https://springer.com/12212</v>
      </c>
      <c r="D1378" s="2" t="s">
        <v>2789</v>
      </c>
      <c r="E1378" s="2"/>
    </row>
    <row r="1379" spans="1:5" ht="12.75" customHeight="1" x14ac:dyDescent="0.3">
      <c r="A1379" s="2" t="s">
        <v>2790</v>
      </c>
      <c r="B1379" s="2" t="s">
        <v>56</v>
      </c>
      <c r="C1379" s="3" t="str">
        <f>HYPERLINK("https://springer.com/12213")</f>
        <v>https://springer.com/12213</v>
      </c>
      <c r="D1379" s="2" t="s">
        <v>2791</v>
      </c>
      <c r="E1379" s="2" t="s">
        <v>8</v>
      </c>
    </row>
    <row r="1380" spans="1:5" ht="12.75" customHeight="1" x14ac:dyDescent="0.3">
      <c r="A1380" s="2" t="s">
        <v>2792</v>
      </c>
      <c r="B1380" s="2" t="s">
        <v>10</v>
      </c>
      <c r="C1380" s="3" t="str">
        <f>HYPERLINK("https://springer.com/12215")</f>
        <v>https://springer.com/12215</v>
      </c>
      <c r="D1380" s="2" t="s">
        <v>2793</v>
      </c>
      <c r="E1380" s="2" t="s">
        <v>8</v>
      </c>
    </row>
    <row r="1381" spans="1:5" ht="12.75" customHeight="1" x14ac:dyDescent="0.3">
      <c r="A1381" s="2" t="s">
        <v>2794</v>
      </c>
      <c r="B1381" s="2" t="s">
        <v>56</v>
      </c>
      <c r="C1381" s="3" t="str">
        <f>HYPERLINK("https://springer.com/12217")</f>
        <v>https://springer.com/12217</v>
      </c>
      <c r="D1381" s="2" t="s">
        <v>2795</v>
      </c>
      <c r="E1381" s="2" t="s">
        <v>8</v>
      </c>
    </row>
    <row r="1382" spans="1:5" ht="12.75" customHeight="1" x14ac:dyDescent="0.3">
      <c r="A1382" s="2" t="s">
        <v>2796</v>
      </c>
      <c r="B1382" s="2" t="s">
        <v>10</v>
      </c>
      <c r="C1382" s="3" t="str">
        <f>HYPERLINK("https://springer.com/12220")</f>
        <v>https://springer.com/12220</v>
      </c>
      <c r="D1382" s="2" t="s">
        <v>2797</v>
      </c>
      <c r="E1382" s="2" t="s">
        <v>8</v>
      </c>
    </row>
    <row r="1383" spans="1:5" ht="12.75" customHeight="1" x14ac:dyDescent="0.3">
      <c r="A1383" s="2" t="s">
        <v>2798</v>
      </c>
      <c r="B1383" s="2" t="s">
        <v>218</v>
      </c>
      <c r="C1383" s="3" t="str">
        <f>HYPERLINK("https://springer.com/12221")</f>
        <v>https://springer.com/12221</v>
      </c>
      <c r="D1383" s="2" t="s">
        <v>2799</v>
      </c>
      <c r="E1383" s="2" t="s">
        <v>8</v>
      </c>
    </row>
    <row r="1384" spans="1:5" ht="12.75" customHeight="1" x14ac:dyDescent="0.3">
      <c r="A1384" s="2" t="s">
        <v>2800</v>
      </c>
      <c r="B1384" s="2" t="s">
        <v>6</v>
      </c>
      <c r="C1384" s="3" t="str">
        <f>HYPERLINK("https://springer.com/12223")</f>
        <v>https://springer.com/12223</v>
      </c>
      <c r="D1384" s="2" t="s">
        <v>2801</v>
      </c>
      <c r="E1384" s="2" t="s">
        <v>8</v>
      </c>
    </row>
    <row r="1385" spans="1:5" ht="12.75" customHeight="1" x14ac:dyDescent="0.3">
      <c r="A1385" s="2" t="s">
        <v>2802</v>
      </c>
      <c r="B1385" s="2" t="s">
        <v>6</v>
      </c>
      <c r="C1385" s="3" t="str">
        <f>HYPERLINK("https://springer.com/12224")</f>
        <v>https://springer.com/12224</v>
      </c>
      <c r="D1385" s="2" t="s">
        <v>2803</v>
      </c>
      <c r="E1385" s="2" t="s">
        <v>8</v>
      </c>
    </row>
    <row r="1386" spans="1:5" ht="12.75" customHeight="1" x14ac:dyDescent="0.3">
      <c r="A1386" s="2" t="s">
        <v>2804</v>
      </c>
      <c r="B1386" s="2" t="s">
        <v>6</v>
      </c>
      <c r="C1386" s="3" t="str">
        <f>HYPERLINK("https://springer.com/12225")</f>
        <v>https://springer.com/12225</v>
      </c>
      <c r="D1386" s="2" t="s">
        <v>2805</v>
      </c>
      <c r="E1386" s="2" t="s">
        <v>8</v>
      </c>
    </row>
    <row r="1387" spans="1:5" ht="12.75" customHeight="1" x14ac:dyDescent="0.3">
      <c r="A1387" s="2" t="s">
        <v>2806</v>
      </c>
      <c r="B1387" s="2" t="s">
        <v>6</v>
      </c>
      <c r="C1387" s="3" t="str">
        <f>HYPERLINK("https://springer.com/12228")</f>
        <v>https://springer.com/12228</v>
      </c>
      <c r="D1387" s="2" t="s">
        <v>2807</v>
      </c>
      <c r="E1387" s="2" t="s">
        <v>8</v>
      </c>
    </row>
    <row r="1388" spans="1:5" ht="12.75" customHeight="1" x14ac:dyDescent="0.3">
      <c r="A1388" s="2" t="s">
        <v>2808</v>
      </c>
      <c r="B1388" s="2" t="s">
        <v>6</v>
      </c>
      <c r="C1388" s="3" t="str">
        <f>HYPERLINK("https://springer.com/12229")</f>
        <v>https://springer.com/12229</v>
      </c>
      <c r="D1388" s="2" t="s">
        <v>2809</v>
      </c>
      <c r="E1388" s="2" t="s">
        <v>8</v>
      </c>
    </row>
    <row r="1389" spans="1:5" ht="12.75" customHeight="1" x14ac:dyDescent="0.3">
      <c r="A1389" s="2" t="s">
        <v>2810</v>
      </c>
      <c r="B1389" s="2" t="s">
        <v>6</v>
      </c>
      <c r="C1389" s="3" t="str">
        <f>HYPERLINK("https://springer.com/12230")</f>
        <v>https://springer.com/12230</v>
      </c>
      <c r="D1389" s="2" t="s">
        <v>2811</v>
      </c>
      <c r="E1389" s="2" t="s">
        <v>8</v>
      </c>
    </row>
    <row r="1390" spans="1:5" ht="12.75" customHeight="1" x14ac:dyDescent="0.3">
      <c r="A1390" s="2" t="s">
        <v>2812</v>
      </c>
      <c r="B1390" s="2" t="s">
        <v>6</v>
      </c>
      <c r="C1390" s="3" t="str">
        <f>HYPERLINK("https://springer.com/12231")</f>
        <v>https://springer.com/12231</v>
      </c>
      <c r="D1390" s="2" t="s">
        <v>2813</v>
      </c>
      <c r="E1390" s="2" t="s">
        <v>8</v>
      </c>
    </row>
    <row r="1391" spans="1:5" ht="12.75" customHeight="1" x14ac:dyDescent="0.3">
      <c r="A1391" s="2" t="s">
        <v>2814</v>
      </c>
      <c r="B1391" s="2" t="s">
        <v>151</v>
      </c>
      <c r="C1391" s="3" t="str">
        <f>HYPERLINK("https://springer.com/12232")</f>
        <v>https://springer.com/12232</v>
      </c>
      <c r="D1391" s="2" t="s">
        <v>2815</v>
      </c>
      <c r="E1391" s="2" t="s">
        <v>8</v>
      </c>
    </row>
    <row r="1392" spans="1:5" ht="12.75" customHeight="1" x14ac:dyDescent="0.3">
      <c r="A1392" s="2" t="s">
        <v>2816</v>
      </c>
      <c r="B1392" s="2" t="s">
        <v>133</v>
      </c>
      <c r="C1392" s="3" t="str">
        <f>HYPERLINK("https://springer.com/12237")</f>
        <v>https://springer.com/12237</v>
      </c>
      <c r="D1392" s="2" t="s">
        <v>2817</v>
      </c>
      <c r="E1392" s="2" t="s">
        <v>8</v>
      </c>
    </row>
    <row r="1393" spans="1:5" ht="12.75" customHeight="1" x14ac:dyDescent="0.3">
      <c r="A1393" s="2" t="s">
        <v>2818</v>
      </c>
      <c r="B1393" s="2" t="s">
        <v>56</v>
      </c>
      <c r="C1393" s="3" t="str">
        <f>HYPERLINK("https://springer.com/12239")</f>
        <v>https://springer.com/12239</v>
      </c>
      <c r="D1393" s="2" t="s">
        <v>2819</v>
      </c>
      <c r="E1393" s="2" t="s">
        <v>8</v>
      </c>
    </row>
    <row r="1394" spans="1:5" ht="12.75" customHeight="1" x14ac:dyDescent="0.3">
      <c r="A1394" s="2" t="s">
        <v>2820</v>
      </c>
      <c r="B1394" s="2" t="s">
        <v>56</v>
      </c>
      <c r="C1394" s="3" t="str">
        <f>HYPERLINK("https://springer.com/12243")</f>
        <v>https://springer.com/12243</v>
      </c>
      <c r="D1394" s="2" t="s">
        <v>2821</v>
      </c>
      <c r="E1394" s="2" t="s">
        <v>8</v>
      </c>
    </row>
    <row r="1395" spans="1:5" ht="12.75" customHeight="1" x14ac:dyDescent="0.3">
      <c r="A1395" s="2" t="s">
        <v>2822</v>
      </c>
      <c r="B1395" s="2" t="s">
        <v>20</v>
      </c>
      <c r="C1395" s="3" t="str">
        <f>HYPERLINK("https://springer.com/12247")</f>
        <v>https://springer.com/12247</v>
      </c>
      <c r="D1395" s="2" t="s">
        <v>2823</v>
      </c>
      <c r="E1395" s="2" t="s">
        <v>8</v>
      </c>
    </row>
    <row r="1396" spans="1:5" ht="12.75" customHeight="1" x14ac:dyDescent="0.3">
      <c r="A1396" s="2" t="s">
        <v>2824</v>
      </c>
      <c r="B1396" s="2" t="s">
        <v>20</v>
      </c>
      <c r="C1396" s="3" t="str">
        <f>HYPERLINK("https://springer.com/12248")</f>
        <v>https://springer.com/12248</v>
      </c>
      <c r="D1396" s="2" t="s">
        <v>2825</v>
      </c>
      <c r="E1396" s="2" t="s">
        <v>8</v>
      </c>
    </row>
    <row r="1397" spans="1:5" ht="12.75" customHeight="1" x14ac:dyDescent="0.3">
      <c r="A1397" s="2" t="s">
        <v>2826</v>
      </c>
      <c r="B1397" s="2" t="s">
        <v>20</v>
      </c>
      <c r="C1397" s="3" t="str">
        <f>HYPERLINK("https://springer.com/12249")</f>
        <v>https://springer.com/12249</v>
      </c>
      <c r="D1397" s="2" t="s">
        <v>2827</v>
      </c>
      <c r="E1397" s="2" t="s">
        <v>8</v>
      </c>
    </row>
    <row r="1398" spans="1:5" ht="12.75" customHeight="1" x14ac:dyDescent="0.3">
      <c r="A1398" s="2" t="s">
        <v>2828</v>
      </c>
      <c r="B1398" s="2" t="s">
        <v>78</v>
      </c>
      <c r="C1398" s="3" t="str">
        <f>HYPERLINK("https://springer.com/12254")</f>
        <v>https://springer.com/12254</v>
      </c>
      <c r="D1398" s="2" t="s">
        <v>2829</v>
      </c>
      <c r="E1398" s="2" t="s">
        <v>8</v>
      </c>
    </row>
    <row r="1399" spans="1:5" ht="12.75" customHeight="1" x14ac:dyDescent="0.3">
      <c r="A1399" s="2" t="s">
        <v>2830</v>
      </c>
      <c r="B1399" s="2" t="s">
        <v>218</v>
      </c>
      <c r="C1399" s="3" t="str">
        <f>HYPERLINK("https://springer.com/12257")</f>
        <v>https://springer.com/12257</v>
      </c>
      <c r="D1399" s="2" t="s">
        <v>2831</v>
      </c>
      <c r="E1399" s="2" t="s">
        <v>8</v>
      </c>
    </row>
    <row r="1400" spans="1:5" ht="12.75" customHeight="1" x14ac:dyDescent="0.3">
      <c r="A1400" s="2" t="s">
        <v>2832</v>
      </c>
      <c r="B1400" s="2" t="s">
        <v>10</v>
      </c>
      <c r="C1400" s="3" t="str">
        <f>HYPERLINK("https://springer.com/12258")</f>
        <v>https://springer.com/12258</v>
      </c>
      <c r="D1400" s="2" t="s">
        <v>2833</v>
      </c>
      <c r="E1400" s="2"/>
    </row>
    <row r="1401" spans="1:5" ht="12.75" customHeight="1" x14ac:dyDescent="0.3">
      <c r="A1401" s="2" t="s">
        <v>2834</v>
      </c>
      <c r="B1401" s="2" t="s">
        <v>6</v>
      </c>
      <c r="C1401" s="3" t="str">
        <f>HYPERLINK("https://springer.com/12259")</f>
        <v>https://springer.com/12259</v>
      </c>
      <c r="D1401" s="2" t="s">
        <v>2835</v>
      </c>
      <c r="E1401" s="2"/>
    </row>
    <row r="1402" spans="1:5" ht="12.75" customHeight="1" x14ac:dyDescent="0.3">
      <c r="A1402" s="2" t="s">
        <v>2836</v>
      </c>
      <c r="B1402" s="2" t="s">
        <v>218</v>
      </c>
      <c r="C1402" s="3" t="str">
        <f>HYPERLINK("https://springer.com/12260")</f>
        <v>https://springer.com/12260</v>
      </c>
      <c r="D1402" s="2" t="s">
        <v>2837</v>
      </c>
      <c r="E1402" s="2"/>
    </row>
    <row r="1403" spans="1:5" ht="12.75" customHeight="1" x14ac:dyDescent="0.3">
      <c r="A1403" s="2" t="s">
        <v>2838</v>
      </c>
      <c r="B1403" s="2" t="s">
        <v>78</v>
      </c>
      <c r="C1403" s="3" t="str">
        <f>HYPERLINK("https://springer.com/12262")</f>
        <v>https://springer.com/12262</v>
      </c>
      <c r="D1403" s="2" t="s">
        <v>2839</v>
      </c>
      <c r="E1403" s="2" t="s">
        <v>8</v>
      </c>
    </row>
    <row r="1404" spans="1:5" ht="12.75" customHeight="1" x14ac:dyDescent="0.3">
      <c r="A1404" s="2" t="s">
        <v>2840</v>
      </c>
      <c r="B1404" s="2" t="s">
        <v>20</v>
      </c>
      <c r="C1404" s="3" t="str">
        <f>HYPERLINK("https://springer.com/12264")</f>
        <v>https://springer.com/12264</v>
      </c>
      <c r="D1404" s="2" t="s">
        <v>2841</v>
      </c>
      <c r="E1404" s="2" t="s">
        <v>8</v>
      </c>
    </row>
    <row r="1405" spans="1:5" ht="12.75" customHeight="1" x14ac:dyDescent="0.3">
      <c r="A1405" s="2" t="s">
        <v>2842</v>
      </c>
      <c r="B1405" s="2" t="s">
        <v>78</v>
      </c>
      <c r="C1405" s="3" t="str">
        <f>HYPERLINK("https://springer.com/12265")</f>
        <v>https://springer.com/12265</v>
      </c>
      <c r="D1405" s="2" t="s">
        <v>2843</v>
      </c>
      <c r="E1405" s="2" t="s">
        <v>8</v>
      </c>
    </row>
    <row r="1406" spans="1:5" ht="12.75" customHeight="1" x14ac:dyDescent="0.3">
      <c r="A1406" s="2" t="s">
        <v>2844</v>
      </c>
      <c r="B1406" s="2" t="s">
        <v>13</v>
      </c>
      <c r="C1406" s="3" t="str">
        <f>HYPERLINK("https://springer.com/12267")</f>
        <v>https://springer.com/12267</v>
      </c>
      <c r="D1406" s="2" t="s">
        <v>2845</v>
      </c>
      <c r="E1406" s="2"/>
    </row>
    <row r="1407" spans="1:5" ht="12.75" customHeight="1" x14ac:dyDescent="0.3">
      <c r="A1407" s="2" t="s">
        <v>2846</v>
      </c>
      <c r="B1407" s="2" t="s">
        <v>6</v>
      </c>
      <c r="C1407" s="3" t="str">
        <f>HYPERLINK("https://springer.com/12268")</f>
        <v>https://springer.com/12268</v>
      </c>
      <c r="D1407" s="2" t="s">
        <v>2847</v>
      </c>
      <c r="E1407" s="2" t="s">
        <v>8</v>
      </c>
    </row>
    <row r="1408" spans="1:5" ht="12.75" customHeight="1" x14ac:dyDescent="0.3">
      <c r="A1408" s="2" t="s">
        <v>2848</v>
      </c>
      <c r="B1408" s="2" t="s">
        <v>1706</v>
      </c>
      <c r="C1408" s="3" t="str">
        <f>HYPERLINK("https://springer.com/12272")</f>
        <v>https://springer.com/12272</v>
      </c>
      <c r="D1408" s="2" t="s">
        <v>2849</v>
      </c>
      <c r="E1408" s="2" t="s">
        <v>8</v>
      </c>
    </row>
    <row r="1409" spans="1:5" ht="12.75" customHeight="1" x14ac:dyDescent="0.3">
      <c r="A1409" s="2" t="s">
        <v>2850</v>
      </c>
      <c r="B1409" s="2" t="s">
        <v>56</v>
      </c>
      <c r="C1409" s="3" t="str">
        <f>HYPERLINK("https://springer.com/12273")</f>
        <v>https://springer.com/12273</v>
      </c>
      <c r="D1409" s="2" t="s">
        <v>2851</v>
      </c>
      <c r="E1409" s="2" t="s">
        <v>8</v>
      </c>
    </row>
    <row r="1410" spans="1:5" ht="12.75" customHeight="1" x14ac:dyDescent="0.3">
      <c r="A1410" s="2" t="s">
        <v>2852</v>
      </c>
      <c r="B1410" s="2" t="s">
        <v>78</v>
      </c>
      <c r="C1410" s="3" t="str">
        <f>HYPERLINK("https://springer.com/12281")</f>
        <v>https://springer.com/12281</v>
      </c>
      <c r="D1410" s="2" t="s">
        <v>2853</v>
      </c>
      <c r="E1410" s="2" t="s">
        <v>8</v>
      </c>
    </row>
    <row r="1411" spans="1:5" ht="12.75" customHeight="1" x14ac:dyDescent="0.3">
      <c r="A1411" s="2" t="s">
        <v>2854</v>
      </c>
      <c r="B1411" s="2" t="s">
        <v>78</v>
      </c>
      <c r="C1411" s="3" t="str">
        <f>HYPERLINK("https://springer.com/12282")</f>
        <v>https://springer.com/12282</v>
      </c>
      <c r="D1411" s="2" t="s">
        <v>2855</v>
      </c>
      <c r="E1411" s="2" t="s">
        <v>8</v>
      </c>
    </row>
    <row r="1412" spans="1:5" ht="12.75" customHeight="1" x14ac:dyDescent="0.3">
      <c r="A1412" s="2" t="s">
        <v>2856</v>
      </c>
      <c r="B1412" s="2" t="s">
        <v>56</v>
      </c>
      <c r="C1412" s="3" t="str">
        <f>HYPERLINK("https://springer.com/12283")</f>
        <v>https://springer.com/12283</v>
      </c>
      <c r="D1412" s="2" t="s">
        <v>2857</v>
      </c>
      <c r="E1412" s="2" t="s">
        <v>8</v>
      </c>
    </row>
    <row r="1413" spans="1:5" ht="12.75" customHeight="1" x14ac:dyDescent="0.3">
      <c r="A1413" s="2" t="s">
        <v>2858</v>
      </c>
      <c r="B1413" s="2" t="s">
        <v>78</v>
      </c>
      <c r="C1413" s="3" t="str">
        <f>HYPERLINK("https://springer.com/12285")</f>
        <v>https://springer.com/12285</v>
      </c>
      <c r="D1413" s="2" t="s">
        <v>2859</v>
      </c>
      <c r="E1413" s="2" t="s">
        <v>8</v>
      </c>
    </row>
    <row r="1414" spans="1:5" ht="12.75" customHeight="1" x14ac:dyDescent="0.3">
      <c r="A1414" s="2" t="s">
        <v>2860</v>
      </c>
      <c r="B1414" s="2" t="s">
        <v>1063</v>
      </c>
      <c r="C1414" s="3" t="str">
        <f>HYPERLINK("https://springer.com/12286")</f>
        <v>https://springer.com/12286</v>
      </c>
      <c r="D1414" s="2" t="s">
        <v>2861</v>
      </c>
      <c r="E1414" s="2" t="s">
        <v>8</v>
      </c>
    </row>
    <row r="1415" spans="1:5" ht="12.75" customHeight="1" x14ac:dyDescent="0.3">
      <c r="A1415" s="2" t="s">
        <v>2862</v>
      </c>
      <c r="B1415" s="2" t="s">
        <v>78</v>
      </c>
      <c r="C1415" s="3" t="str">
        <f>HYPERLINK("https://springer.com/12288")</f>
        <v>https://springer.com/12288</v>
      </c>
      <c r="D1415" s="2" t="s">
        <v>2863</v>
      </c>
      <c r="E1415" s="2" t="s">
        <v>8</v>
      </c>
    </row>
    <row r="1416" spans="1:5" ht="12.75" customHeight="1" x14ac:dyDescent="0.3">
      <c r="A1416" s="2" t="s">
        <v>2864</v>
      </c>
      <c r="B1416" s="2" t="s">
        <v>56</v>
      </c>
      <c r="C1416" s="3" t="str">
        <f>HYPERLINK("https://springer.com/12289")</f>
        <v>https://springer.com/12289</v>
      </c>
      <c r="D1416" s="2" t="s">
        <v>2865</v>
      </c>
      <c r="E1416" s="2" t="s">
        <v>8</v>
      </c>
    </row>
    <row r="1417" spans="1:5" ht="12.75" customHeight="1" x14ac:dyDescent="0.3">
      <c r="A1417" s="2" t="s">
        <v>2866</v>
      </c>
      <c r="B1417" s="2" t="s">
        <v>6</v>
      </c>
      <c r="C1417" s="3" t="str">
        <f>HYPERLINK("https://springer.com/12291")</f>
        <v>https://springer.com/12291</v>
      </c>
      <c r="D1417" s="2" t="s">
        <v>2867</v>
      </c>
      <c r="E1417" s="2" t="s">
        <v>8</v>
      </c>
    </row>
    <row r="1418" spans="1:5" ht="12.75" customHeight="1" x14ac:dyDescent="0.3">
      <c r="A1418" s="2" t="s">
        <v>2868</v>
      </c>
      <c r="B1418" s="2" t="s">
        <v>56</v>
      </c>
      <c r="C1418" s="3" t="str">
        <f>HYPERLINK("https://springer.com/12293")</f>
        <v>https://springer.com/12293</v>
      </c>
      <c r="D1418" s="2" t="s">
        <v>2869</v>
      </c>
      <c r="E1418" s="2" t="s">
        <v>8</v>
      </c>
    </row>
    <row r="1419" spans="1:5" ht="12.75" customHeight="1" x14ac:dyDescent="0.3">
      <c r="A1419" s="2" t="s">
        <v>2870</v>
      </c>
      <c r="B1419" s="2" t="s">
        <v>6</v>
      </c>
      <c r="C1419" s="3" t="str">
        <f>HYPERLINK("https://springer.com/12298")</f>
        <v>https://springer.com/12298</v>
      </c>
      <c r="D1419" s="2" t="s">
        <v>2871</v>
      </c>
      <c r="E1419" s="2" t="s">
        <v>8</v>
      </c>
    </row>
    <row r="1420" spans="1:5" ht="12.75" customHeight="1" x14ac:dyDescent="0.3">
      <c r="A1420" s="2" t="s">
        <v>2872</v>
      </c>
      <c r="B1420" s="2" t="s">
        <v>26</v>
      </c>
      <c r="C1420" s="3" t="str">
        <f>HYPERLINK("https://springer.com/12303")</f>
        <v>https://springer.com/12303</v>
      </c>
      <c r="D1420" s="2" t="s">
        <v>2873</v>
      </c>
      <c r="E1420" s="2" t="s">
        <v>8</v>
      </c>
    </row>
    <row r="1421" spans="1:5" ht="12.75" customHeight="1" x14ac:dyDescent="0.3">
      <c r="A1421" s="2" t="s">
        <v>2874</v>
      </c>
      <c r="B1421" s="2" t="s">
        <v>6</v>
      </c>
      <c r="C1421" s="3" t="str">
        <f>HYPERLINK("https://springer.com/12304")</f>
        <v>https://springer.com/12304</v>
      </c>
      <c r="D1421" s="2" t="s">
        <v>2875</v>
      </c>
      <c r="E1421" s="2" t="s">
        <v>8</v>
      </c>
    </row>
    <row r="1422" spans="1:5" ht="12.75" customHeight="1" x14ac:dyDescent="0.3">
      <c r="A1422" s="2" t="s">
        <v>2876</v>
      </c>
      <c r="B1422" s="2" t="s">
        <v>78</v>
      </c>
      <c r="C1422" s="3" t="str">
        <f>HYPERLINK("https://springer.com/12306")</f>
        <v>https://springer.com/12306</v>
      </c>
      <c r="D1422" s="2" t="s">
        <v>2877</v>
      </c>
      <c r="E1422" s="2" t="s">
        <v>8</v>
      </c>
    </row>
    <row r="1423" spans="1:5" ht="12.75" customHeight="1" x14ac:dyDescent="0.3">
      <c r="A1423" s="2" t="s">
        <v>2878</v>
      </c>
      <c r="B1423" s="2" t="s">
        <v>78</v>
      </c>
      <c r="C1423" s="3" t="str">
        <f>HYPERLINK("https://springer.com/12308")</f>
        <v>https://springer.com/12308</v>
      </c>
      <c r="D1423" s="2" t="s">
        <v>2879</v>
      </c>
      <c r="E1423" s="2" t="s">
        <v>8</v>
      </c>
    </row>
    <row r="1424" spans="1:5" ht="12.75" customHeight="1" x14ac:dyDescent="0.3">
      <c r="A1424" s="2" t="s">
        <v>2880</v>
      </c>
      <c r="B1424" s="2" t="s">
        <v>443</v>
      </c>
      <c r="C1424" s="3" t="str">
        <f>HYPERLINK("https://springer.com/12310")</f>
        <v>https://springer.com/12310</v>
      </c>
      <c r="D1424" s="2" t="s">
        <v>2881</v>
      </c>
      <c r="E1424" s="2" t="s">
        <v>8</v>
      </c>
    </row>
    <row r="1425" spans="1:5" ht="12.75" customHeight="1" x14ac:dyDescent="0.3">
      <c r="A1425" s="2" t="s">
        <v>2882</v>
      </c>
      <c r="B1425" s="2" t="s">
        <v>20</v>
      </c>
      <c r="C1425" s="3" t="str">
        <f>HYPERLINK("https://springer.com/12311")</f>
        <v>https://springer.com/12311</v>
      </c>
      <c r="D1425" s="2" t="s">
        <v>2883</v>
      </c>
      <c r="E1425" s="2" t="s">
        <v>8</v>
      </c>
    </row>
    <row r="1426" spans="1:5" ht="12.75" customHeight="1" x14ac:dyDescent="0.3">
      <c r="A1426" s="2" t="s">
        <v>2884</v>
      </c>
      <c r="B1426" s="2" t="s">
        <v>78</v>
      </c>
      <c r="C1426" s="3" t="str">
        <f>HYPERLINK("https://springer.com/12325")</f>
        <v>https://springer.com/12325</v>
      </c>
      <c r="D1426" s="2" t="s">
        <v>2885</v>
      </c>
      <c r="E1426" s="2" t="s">
        <v>141</v>
      </c>
    </row>
    <row r="1427" spans="1:5" ht="12.75" customHeight="1" x14ac:dyDescent="0.3">
      <c r="A1427" s="2" t="s">
        <v>2886</v>
      </c>
      <c r="B1427" s="2" t="s">
        <v>78</v>
      </c>
      <c r="C1427" s="3" t="str">
        <f>HYPERLINK("https://springer.com/12326")</f>
        <v>https://springer.com/12326</v>
      </c>
      <c r="D1427" s="2" t="s">
        <v>2887</v>
      </c>
      <c r="E1427" s="2" t="s">
        <v>8</v>
      </c>
    </row>
    <row r="1428" spans="1:5" ht="12.75" customHeight="1" x14ac:dyDescent="0.3">
      <c r="A1428" s="2" t="s">
        <v>2888</v>
      </c>
      <c r="B1428" s="2" t="s">
        <v>78</v>
      </c>
      <c r="C1428" s="3" t="str">
        <f>HYPERLINK("https://springer.com/12328")</f>
        <v>https://springer.com/12328</v>
      </c>
      <c r="D1428" s="2" t="s">
        <v>2889</v>
      </c>
      <c r="E1428" s="2" t="s">
        <v>8</v>
      </c>
    </row>
    <row r="1429" spans="1:5" ht="12.75" customHeight="1" x14ac:dyDescent="0.3">
      <c r="A1429" s="2" t="s">
        <v>2890</v>
      </c>
      <c r="B1429" s="2" t="s">
        <v>10</v>
      </c>
      <c r="C1429" s="3" t="str">
        <f>HYPERLINK("https://springer.com/12346")</f>
        <v>https://springer.com/12346</v>
      </c>
      <c r="D1429" s="2" t="s">
        <v>2891</v>
      </c>
      <c r="E1429" s="2" t="s">
        <v>8</v>
      </c>
    </row>
    <row r="1430" spans="1:5" ht="12.75" customHeight="1" x14ac:dyDescent="0.3">
      <c r="A1430" s="2" t="s">
        <v>2892</v>
      </c>
      <c r="B1430" s="2" t="s">
        <v>181</v>
      </c>
      <c r="C1430" s="3" t="str">
        <f>HYPERLINK("https://springer.com/12351")</f>
        <v>https://springer.com/12351</v>
      </c>
      <c r="D1430" s="2" t="s">
        <v>2893</v>
      </c>
      <c r="E1430" s="2" t="s">
        <v>8</v>
      </c>
    </row>
    <row r="1431" spans="1:5" ht="12.75" customHeight="1" x14ac:dyDescent="0.3">
      <c r="A1431" s="2" t="s">
        <v>2894</v>
      </c>
      <c r="B1431" s="2" t="s">
        <v>6</v>
      </c>
      <c r="C1431" s="3" t="str">
        <f>HYPERLINK("https://springer.com/12355")</f>
        <v>https://springer.com/12355</v>
      </c>
      <c r="D1431" s="2" t="s">
        <v>2895</v>
      </c>
      <c r="E1431" s="2" t="s">
        <v>8</v>
      </c>
    </row>
    <row r="1432" spans="1:5" ht="12.75" customHeight="1" x14ac:dyDescent="0.3">
      <c r="A1432" s="2" t="s">
        <v>2896</v>
      </c>
      <c r="B1432" s="2" t="s">
        <v>56</v>
      </c>
      <c r="C1432" s="3" t="str">
        <f>HYPERLINK("https://springer.com/12369")</f>
        <v>https://springer.com/12369</v>
      </c>
      <c r="D1432" s="2" t="s">
        <v>2897</v>
      </c>
      <c r="E1432" s="2" t="s">
        <v>8</v>
      </c>
    </row>
    <row r="1433" spans="1:5" ht="12.75" customHeight="1" x14ac:dyDescent="0.3">
      <c r="A1433" s="2" t="s">
        <v>2898</v>
      </c>
      <c r="B1433" s="2" t="s">
        <v>26</v>
      </c>
      <c r="C1433" s="3" t="str">
        <f>HYPERLINK("https://springer.com/12371")</f>
        <v>https://springer.com/12371</v>
      </c>
      <c r="D1433" s="2" t="s">
        <v>2899</v>
      </c>
      <c r="E1433" s="2" t="s">
        <v>8</v>
      </c>
    </row>
    <row r="1434" spans="1:5" ht="12.75" customHeight="1" x14ac:dyDescent="0.3">
      <c r="A1434" s="2" t="s">
        <v>2900</v>
      </c>
      <c r="B1434" s="2" t="s">
        <v>6</v>
      </c>
      <c r="C1434" s="3" t="str">
        <f>HYPERLINK("https://springer.com/12374")</f>
        <v>https://springer.com/12374</v>
      </c>
      <c r="D1434" s="2" t="s">
        <v>2901</v>
      </c>
      <c r="E1434" s="2" t="s">
        <v>8</v>
      </c>
    </row>
    <row r="1435" spans="1:5" ht="12.75" customHeight="1" x14ac:dyDescent="0.3">
      <c r="A1435" s="2" t="s">
        <v>2902</v>
      </c>
      <c r="B1435" s="2" t="s">
        <v>218</v>
      </c>
      <c r="C1435" s="3" t="str">
        <f>HYPERLINK("https://springer.com/12393")</f>
        <v>https://springer.com/12393</v>
      </c>
      <c r="D1435" s="2" t="s">
        <v>2903</v>
      </c>
      <c r="E1435" s="2" t="s">
        <v>8</v>
      </c>
    </row>
    <row r="1436" spans="1:5" ht="12.75" customHeight="1" x14ac:dyDescent="0.3">
      <c r="A1436" s="2" t="s">
        <v>2904</v>
      </c>
      <c r="B1436" s="2" t="s">
        <v>794</v>
      </c>
      <c r="C1436" s="3" t="str">
        <f>HYPERLINK("https://springer.com/12397")</f>
        <v>https://springer.com/12397</v>
      </c>
      <c r="D1436" s="2" t="s">
        <v>2905</v>
      </c>
      <c r="E1436" s="2" t="s">
        <v>8</v>
      </c>
    </row>
    <row r="1437" spans="1:5" ht="12.75" customHeight="1" x14ac:dyDescent="0.3">
      <c r="A1437" s="2" t="s">
        <v>2906</v>
      </c>
      <c r="B1437" s="2" t="s">
        <v>1063</v>
      </c>
      <c r="C1437" s="3" t="str">
        <f>HYPERLINK("https://springer.com/12399")</f>
        <v>https://springer.com/12399</v>
      </c>
      <c r="D1437" s="2" t="s">
        <v>2907</v>
      </c>
      <c r="E1437" s="2" t="s">
        <v>8</v>
      </c>
    </row>
    <row r="1438" spans="1:5" ht="12.75" customHeight="1" x14ac:dyDescent="0.3">
      <c r="A1438" s="2" t="s">
        <v>2908</v>
      </c>
      <c r="B1438" s="2" t="s">
        <v>133</v>
      </c>
      <c r="C1438" s="3" t="str">
        <f>HYPERLINK("https://springer.com/12403")</f>
        <v>https://springer.com/12403</v>
      </c>
      <c r="D1438" s="2" t="s">
        <v>2909</v>
      </c>
      <c r="E1438" s="2" t="s">
        <v>8</v>
      </c>
    </row>
    <row r="1439" spans="1:5" ht="12.75" customHeight="1" x14ac:dyDescent="0.3">
      <c r="A1439" s="2" t="s">
        <v>2910</v>
      </c>
      <c r="B1439" s="2" t="s">
        <v>78</v>
      </c>
      <c r="C1439" s="3" t="str">
        <f>HYPERLINK("https://springer.com/12410")</f>
        <v>https://springer.com/12410</v>
      </c>
      <c r="D1439" s="2" t="s">
        <v>2911</v>
      </c>
      <c r="E1439" s="2" t="s">
        <v>8</v>
      </c>
    </row>
    <row r="1440" spans="1:5" ht="12.75" customHeight="1" x14ac:dyDescent="0.3">
      <c r="A1440" s="2" t="s">
        <v>2912</v>
      </c>
      <c r="B1440" s="2" t="s">
        <v>181</v>
      </c>
      <c r="C1440" s="3" t="str">
        <f>HYPERLINK("https://springer.com/12469")</f>
        <v>https://springer.com/12469</v>
      </c>
      <c r="D1440" s="2" t="s">
        <v>2913</v>
      </c>
      <c r="E1440" s="2" t="s">
        <v>8</v>
      </c>
    </row>
    <row r="1441" spans="1:5" ht="12.75" customHeight="1" x14ac:dyDescent="0.3">
      <c r="A1441" s="2" t="s">
        <v>2914</v>
      </c>
      <c r="B1441" s="2" t="s">
        <v>26</v>
      </c>
      <c r="C1441" s="3" t="str">
        <f>HYPERLINK("https://springer.com/12517")</f>
        <v>https://springer.com/12517</v>
      </c>
      <c r="D1441" s="2" t="s">
        <v>2915</v>
      </c>
      <c r="E1441" s="2" t="s">
        <v>8</v>
      </c>
    </row>
    <row r="1442" spans="1:5" ht="12.75" customHeight="1" x14ac:dyDescent="0.3">
      <c r="A1442" s="2" t="s">
        <v>2916</v>
      </c>
      <c r="B1442" s="2" t="s">
        <v>528</v>
      </c>
      <c r="C1442" s="3" t="str">
        <f>HYPERLINK("https://springer.com/12518")</f>
        <v>https://springer.com/12518</v>
      </c>
      <c r="D1442" s="2" t="s">
        <v>2917</v>
      </c>
      <c r="E1442" s="2" t="s">
        <v>8</v>
      </c>
    </row>
    <row r="1443" spans="1:5" ht="12.75" customHeight="1" x14ac:dyDescent="0.3">
      <c r="A1443" s="2" t="s">
        <v>2918</v>
      </c>
      <c r="B1443" s="2" t="s">
        <v>78</v>
      </c>
      <c r="C1443" s="3" t="str">
        <f>HYPERLINK("https://springer.com/12519")</f>
        <v>https://springer.com/12519</v>
      </c>
      <c r="D1443" s="2" t="s">
        <v>2919</v>
      </c>
      <c r="E1443" s="2" t="s">
        <v>8</v>
      </c>
    </row>
    <row r="1444" spans="1:5" ht="12.75" customHeight="1" x14ac:dyDescent="0.3">
      <c r="A1444" s="2" t="s">
        <v>2920</v>
      </c>
      <c r="B1444" s="2" t="s">
        <v>26</v>
      </c>
      <c r="C1444" s="3" t="str">
        <f>HYPERLINK("https://springer.com/12520")</f>
        <v>https://springer.com/12520</v>
      </c>
      <c r="D1444" s="2" t="s">
        <v>2921</v>
      </c>
      <c r="E1444" s="2" t="s">
        <v>8</v>
      </c>
    </row>
    <row r="1445" spans="1:5" ht="12.75" customHeight="1" x14ac:dyDescent="0.3">
      <c r="A1445" s="2" t="s">
        <v>2922</v>
      </c>
      <c r="B1445" s="2" t="s">
        <v>26</v>
      </c>
      <c r="C1445" s="3" t="str">
        <f>HYPERLINK("https://springer.com/12524")</f>
        <v>https://springer.com/12524</v>
      </c>
      <c r="D1445" s="2" t="s">
        <v>2923</v>
      </c>
      <c r="E1445" s="2" t="s">
        <v>8</v>
      </c>
    </row>
    <row r="1446" spans="1:5" ht="12.75" customHeight="1" x14ac:dyDescent="0.3">
      <c r="A1446" s="2" t="s">
        <v>2924</v>
      </c>
      <c r="B1446" s="2" t="s">
        <v>181</v>
      </c>
      <c r="C1446" s="3" t="str">
        <f>HYPERLINK("https://springer.com/12525")</f>
        <v>https://springer.com/12525</v>
      </c>
      <c r="D1446" s="2" t="s">
        <v>2925</v>
      </c>
      <c r="E1446" s="2" t="s">
        <v>8</v>
      </c>
    </row>
    <row r="1447" spans="1:5" ht="12.75" customHeight="1" x14ac:dyDescent="0.3">
      <c r="A1447" s="2" t="s">
        <v>2926</v>
      </c>
      <c r="B1447" s="2" t="s">
        <v>6</v>
      </c>
      <c r="C1447" s="3" t="str">
        <f>HYPERLINK("https://springer.com/12526")</f>
        <v>https://springer.com/12526</v>
      </c>
      <c r="D1447" s="2" t="s">
        <v>2927</v>
      </c>
      <c r="E1447" s="2" t="s">
        <v>8</v>
      </c>
    </row>
    <row r="1448" spans="1:5" ht="12.75" customHeight="1" x14ac:dyDescent="0.3">
      <c r="A1448" s="2" t="s">
        <v>2928</v>
      </c>
      <c r="B1448" s="2" t="s">
        <v>753</v>
      </c>
      <c r="C1448" s="3" t="str">
        <f>HYPERLINK("https://springer.com/12528")</f>
        <v>https://springer.com/12528</v>
      </c>
      <c r="D1448" s="2" t="s">
        <v>2929</v>
      </c>
      <c r="E1448" s="2" t="s">
        <v>8</v>
      </c>
    </row>
    <row r="1449" spans="1:5" ht="12.75" customHeight="1" x14ac:dyDescent="0.3">
      <c r="A1449" s="2" t="s">
        <v>2930</v>
      </c>
      <c r="B1449" s="2" t="s">
        <v>78</v>
      </c>
      <c r="C1449" s="3" t="str">
        <f>HYPERLINK("https://springer.com/12529")</f>
        <v>https://springer.com/12529</v>
      </c>
      <c r="D1449" s="2" t="s">
        <v>2931</v>
      </c>
      <c r="E1449" s="2" t="s">
        <v>8</v>
      </c>
    </row>
    <row r="1450" spans="1:5" ht="12.75" customHeight="1" x14ac:dyDescent="0.3">
      <c r="A1450" s="2" t="s">
        <v>2932</v>
      </c>
      <c r="B1450" s="2" t="s">
        <v>56</v>
      </c>
      <c r="C1450" s="3" t="str">
        <f>HYPERLINK("https://springer.com/12530")</f>
        <v>https://springer.com/12530</v>
      </c>
      <c r="D1450" s="2" t="s">
        <v>2933</v>
      </c>
      <c r="E1450" s="2" t="s">
        <v>8</v>
      </c>
    </row>
    <row r="1451" spans="1:5" ht="12.75" customHeight="1" x14ac:dyDescent="0.3">
      <c r="A1451" s="2" t="s">
        <v>2934</v>
      </c>
      <c r="B1451" s="2" t="s">
        <v>10</v>
      </c>
      <c r="C1451" s="3" t="str">
        <f>HYPERLINK("https://springer.com/12532")</f>
        <v>https://springer.com/12532</v>
      </c>
      <c r="D1451" s="2" t="s">
        <v>2935</v>
      </c>
      <c r="E1451" s="2" t="s">
        <v>8</v>
      </c>
    </row>
    <row r="1452" spans="1:5" ht="12.75" customHeight="1" x14ac:dyDescent="0.3">
      <c r="A1452" s="2" t="s">
        <v>2936</v>
      </c>
      <c r="B1452" s="2" t="s">
        <v>6</v>
      </c>
      <c r="C1452" s="3" t="str">
        <f>HYPERLINK("https://springer.com/12539")</f>
        <v>https://springer.com/12539</v>
      </c>
      <c r="D1452" s="2" t="s">
        <v>2937</v>
      </c>
      <c r="E1452" s="2" t="s">
        <v>8</v>
      </c>
    </row>
    <row r="1453" spans="1:5" ht="12.75" customHeight="1" x14ac:dyDescent="0.3">
      <c r="A1453" s="2" t="s">
        <v>2938</v>
      </c>
      <c r="B1453" s="2" t="s">
        <v>396</v>
      </c>
      <c r="C1453" s="3" t="str">
        <f>HYPERLINK("https://springer.com/12540")</f>
        <v>https://springer.com/12540</v>
      </c>
      <c r="D1453" s="2" t="s">
        <v>2939</v>
      </c>
      <c r="E1453" s="2" t="s">
        <v>8</v>
      </c>
    </row>
    <row r="1454" spans="1:5" ht="12.75" customHeight="1" x14ac:dyDescent="0.3">
      <c r="A1454" s="2" t="s">
        <v>2940</v>
      </c>
      <c r="B1454" s="2" t="s">
        <v>56</v>
      </c>
      <c r="C1454" s="3" t="str">
        <f>HYPERLINK("https://springer.com/12541")</f>
        <v>https://springer.com/12541</v>
      </c>
      <c r="D1454" s="2" t="s">
        <v>2941</v>
      </c>
      <c r="E1454" s="2" t="s">
        <v>8</v>
      </c>
    </row>
    <row r="1455" spans="1:5" ht="12.75" customHeight="1" x14ac:dyDescent="0.3">
      <c r="A1455" s="2" t="s">
        <v>2942</v>
      </c>
      <c r="B1455" s="2" t="s">
        <v>26</v>
      </c>
      <c r="C1455" s="3" t="str">
        <f>HYPERLINK("https://springer.com/12542")</f>
        <v>https://springer.com/12542</v>
      </c>
      <c r="D1455" s="2" t="s">
        <v>2943</v>
      </c>
      <c r="E1455" s="2" t="s">
        <v>8</v>
      </c>
    </row>
    <row r="1456" spans="1:5" ht="12.75" customHeight="1" x14ac:dyDescent="0.3">
      <c r="A1456" s="2" t="s">
        <v>2944</v>
      </c>
      <c r="B1456" s="2" t="s">
        <v>794</v>
      </c>
      <c r="C1456" s="3" t="str">
        <f>HYPERLINK("https://springer.com/12546")</f>
        <v>https://springer.com/12546</v>
      </c>
      <c r="D1456" s="2" t="s">
        <v>2945</v>
      </c>
      <c r="E1456" s="2" t="s">
        <v>8</v>
      </c>
    </row>
    <row r="1457" spans="1:5" ht="12.75" customHeight="1" x14ac:dyDescent="0.3">
      <c r="A1457" s="2" t="s">
        <v>2946</v>
      </c>
      <c r="B1457" s="2" t="s">
        <v>26</v>
      </c>
      <c r="C1457" s="3" t="str">
        <f>HYPERLINK("https://springer.com/12549")</f>
        <v>https://springer.com/12549</v>
      </c>
      <c r="D1457" s="2" t="s">
        <v>2947</v>
      </c>
      <c r="E1457" s="2" t="s">
        <v>8</v>
      </c>
    </row>
    <row r="1458" spans="1:5" ht="12.75" customHeight="1" x14ac:dyDescent="0.3">
      <c r="A1458" s="2" t="s">
        <v>2948</v>
      </c>
      <c r="B1458" s="2" t="s">
        <v>6</v>
      </c>
      <c r="C1458" s="3" t="str">
        <f>HYPERLINK("https://springer.com/12550")</f>
        <v>https://springer.com/12550</v>
      </c>
      <c r="D1458" s="2" t="s">
        <v>2949</v>
      </c>
      <c r="E1458" s="2" t="s">
        <v>8</v>
      </c>
    </row>
    <row r="1459" spans="1:5" ht="12.75" customHeight="1" x14ac:dyDescent="0.3">
      <c r="A1459" s="2" t="s">
        <v>2950</v>
      </c>
      <c r="B1459" s="2" t="s">
        <v>6</v>
      </c>
      <c r="C1459" s="3" t="str">
        <f>HYPERLINK("https://springer.com/12551")</f>
        <v>https://springer.com/12551</v>
      </c>
      <c r="D1459" s="2" t="s">
        <v>2951</v>
      </c>
      <c r="E1459" s="2" t="s">
        <v>8</v>
      </c>
    </row>
    <row r="1460" spans="1:5" ht="12.75" customHeight="1" x14ac:dyDescent="0.3">
      <c r="A1460" s="2" t="s">
        <v>2952</v>
      </c>
      <c r="B1460" s="2" t="s">
        <v>794</v>
      </c>
      <c r="C1460" s="3" t="str">
        <f>HYPERLINK("https://springer.com/12552")</f>
        <v>https://springer.com/12552</v>
      </c>
      <c r="D1460" s="2" t="s">
        <v>2953</v>
      </c>
      <c r="E1460" s="2" t="s">
        <v>8</v>
      </c>
    </row>
    <row r="1461" spans="1:5" ht="12.75" customHeight="1" x14ac:dyDescent="0.3">
      <c r="A1461" s="2" t="s">
        <v>2954</v>
      </c>
      <c r="B1461" s="2" t="s">
        <v>56</v>
      </c>
      <c r="C1461" s="3" t="str">
        <f>HYPERLINK("https://springer.com/12553")</f>
        <v>https://springer.com/12553</v>
      </c>
      <c r="D1461" s="2" t="s">
        <v>2955</v>
      </c>
      <c r="E1461" s="2" t="s">
        <v>8</v>
      </c>
    </row>
    <row r="1462" spans="1:5" ht="12.75" customHeight="1" x14ac:dyDescent="0.3">
      <c r="A1462" s="2" t="s">
        <v>2956</v>
      </c>
      <c r="B1462" s="2" t="s">
        <v>63</v>
      </c>
      <c r="C1462" s="3" t="str">
        <f>HYPERLINK("https://springer.com/12559")</f>
        <v>https://springer.com/12559</v>
      </c>
      <c r="D1462" s="2" t="s">
        <v>2957</v>
      </c>
      <c r="E1462" s="2" t="s">
        <v>8</v>
      </c>
    </row>
    <row r="1463" spans="1:5" ht="12.75" customHeight="1" x14ac:dyDescent="0.3">
      <c r="A1463" s="2" t="s">
        <v>2958</v>
      </c>
      <c r="B1463" s="2" t="s">
        <v>20</v>
      </c>
      <c r="C1463" s="3" t="str">
        <f>HYPERLINK("https://springer.com/12560")</f>
        <v>https://springer.com/12560</v>
      </c>
      <c r="D1463" s="2" t="s">
        <v>2959</v>
      </c>
      <c r="E1463" s="2" t="s">
        <v>8</v>
      </c>
    </row>
    <row r="1464" spans="1:5" ht="12.75" customHeight="1" x14ac:dyDescent="0.3">
      <c r="A1464" s="2" t="s">
        <v>2960</v>
      </c>
      <c r="B1464" s="2" t="s">
        <v>170</v>
      </c>
      <c r="C1464" s="3" t="str">
        <f>HYPERLINK("https://springer.com/12561")</f>
        <v>https://springer.com/12561</v>
      </c>
      <c r="D1464" s="2" t="s">
        <v>2961</v>
      </c>
      <c r="E1464" s="2" t="s">
        <v>8</v>
      </c>
    </row>
    <row r="1465" spans="1:5" ht="12.75" customHeight="1" x14ac:dyDescent="0.3">
      <c r="A1465" s="2" t="s">
        <v>2962</v>
      </c>
      <c r="B1465" s="2" t="s">
        <v>6</v>
      </c>
      <c r="C1465" s="3" t="str">
        <f>HYPERLINK("https://springer.com/12562")</f>
        <v>https://springer.com/12562</v>
      </c>
      <c r="D1465" s="2" t="s">
        <v>2963</v>
      </c>
      <c r="E1465" s="2" t="s">
        <v>8</v>
      </c>
    </row>
    <row r="1466" spans="1:5" ht="12.75" customHeight="1" x14ac:dyDescent="0.3">
      <c r="A1466" s="2" t="s">
        <v>2964</v>
      </c>
      <c r="B1466" s="2" t="s">
        <v>753</v>
      </c>
      <c r="C1466" s="3" t="str">
        <f>HYPERLINK("https://springer.com/12564")</f>
        <v>https://springer.com/12564</v>
      </c>
      <c r="D1466" s="2" t="s">
        <v>2965</v>
      </c>
      <c r="E1466" s="2" t="s">
        <v>8</v>
      </c>
    </row>
    <row r="1467" spans="1:5" ht="12.75" customHeight="1" x14ac:dyDescent="0.3">
      <c r="A1467" s="2" t="s">
        <v>2966</v>
      </c>
      <c r="B1467" s="2" t="s">
        <v>78</v>
      </c>
      <c r="C1467" s="3" t="str">
        <f>HYPERLINK("https://springer.com/12565")</f>
        <v>https://springer.com/12565</v>
      </c>
      <c r="D1467" s="2" t="s">
        <v>2967</v>
      </c>
      <c r="E1467" s="2" t="s">
        <v>8</v>
      </c>
    </row>
    <row r="1468" spans="1:5" ht="12.75" customHeight="1" x14ac:dyDescent="0.3">
      <c r="A1468" s="2" t="s">
        <v>2968</v>
      </c>
      <c r="B1468" s="2" t="s">
        <v>56</v>
      </c>
      <c r="C1468" s="3" t="str">
        <f>HYPERLINK("https://springer.com/12567")</f>
        <v>https://springer.com/12567</v>
      </c>
      <c r="D1468" s="2" t="s">
        <v>2969</v>
      </c>
      <c r="E1468" s="2" t="s">
        <v>8</v>
      </c>
    </row>
    <row r="1469" spans="1:5" ht="12.75" customHeight="1" x14ac:dyDescent="0.3">
      <c r="A1469" s="2" t="s">
        <v>2970</v>
      </c>
      <c r="B1469" s="2" t="s">
        <v>6</v>
      </c>
      <c r="C1469" s="3" t="str">
        <f>HYPERLINK("https://springer.com/12571")</f>
        <v>https://springer.com/12571</v>
      </c>
      <c r="D1469" s="2" t="s">
        <v>2971</v>
      </c>
      <c r="E1469" s="2" t="s">
        <v>8</v>
      </c>
    </row>
    <row r="1470" spans="1:5" ht="12.75" customHeight="1" x14ac:dyDescent="0.3">
      <c r="A1470" s="2" t="s">
        <v>2972</v>
      </c>
      <c r="B1470" s="2" t="s">
        <v>56</v>
      </c>
      <c r="C1470" s="3" t="str">
        <f>HYPERLINK("https://springer.com/12572")</f>
        <v>https://springer.com/12572</v>
      </c>
      <c r="D1470" s="2" t="s">
        <v>2973</v>
      </c>
      <c r="E1470" s="2" t="s">
        <v>8</v>
      </c>
    </row>
    <row r="1471" spans="1:5" ht="12.75" customHeight="1" x14ac:dyDescent="0.3">
      <c r="A1471" s="2" t="s">
        <v>2974</v>
      </c>
      <c r="B1471" s="2" t="s">
        <v>78</v>
      </c>
      <c r="C1471" s="3" t="str">
        <f>HYPERLINK("https://springer.com/12574")</f>
        <v>https://springer.com/12574</v>
      </c>
      <c r="D1471" s="2" t="s">
        <v>2975</v>
      </c>
      <c r="E1471" s="2" t="s">
        <v>8</v>
      </c>
    </row>
    <row r="1472" spans="1:5" ht="12.75" customHeight="1" x14ac:dyDescent="0.3">
      <c r="A1472" s="2" t="s">
        <v>2976</v>
      </c>
      <c r="B1472" s="2" t="s">
        <v>26</v>
      </c>
      <c r="C1472" s="3" t="str">
        <f>HYPERLINK("https://springer.com/12583")</f>
        <v>https://springer.com/12583</v>
      </c>
      <c r="D1472" s="2" t="s">
        <v>2977</v>
      </c>
      <c r="E1472" s="2" t="s">
        <v>8</v>
      </c>
    </row>
    <row r="1473" spans="1:5" ht="12.75" customHeight="1" x14ac:dyDescent="0.3">
      <c r="A1473" s="2" t="s">
        <v>2978</v>
      </c>
      <c r="B1473" s="2" t="s">
        <v>10</v>
      </c>
      <c r="C1473" s="3" t="str">
        <f>HYPERLINK("https://springer.com/12591")</f>
        <v>https://springer.com/12591</v>
      </c>
      <c r="D1473" s="2" t="s">
        <v>2979</v>
      </c>
      <c r="E1473" s="2" t="s">
        <v>8</v>
      </c>
    </row>
    <row r="1474" spans="1:5" ht="12.75" customHeight="1" x14ac:dyDescent="0.3">
      <c r="A1474" s="2" t="s">
        <v>2980</v>
      </c>
      <c r="B1474" s="2" t="s">
        <v>794</v>
      </c>
      <c r="C1474" s="3" t="str">
        <f>HYPERLINK("https://springer.com/12592")</f>
        <v>https://springer.com/12592</v>
      </c>
      <c r="D1474" s="2" t="s">
        <v>2981</v>
      </c>
      <c r="E1474" s="2" t="s">
        <v>8</v>
      </c>
    </row>
    <row r="1475" spans="1:5" ht="12.75" customHeight="1" x14ac:dyDescent="0.3">
      <c r="A1475" s="2" t="s">
        <v>2982</v>
      </c>
      <c r="B1475" s="2" t="s">
        <v>6</v>
      </c>
      <c r="C1475" s="3" t="str">
        <f>HYPERLINK("https://springer.com/12595")</f>
        <v>https://springer.com/12595</v>
      </c>
      <c r="D1475" s="2" t="s">
        <v>2983</v>
      </c>
      <c r="E1475" s="2" t="s">
        <v>8</v>
      </c>
    </row>
    <row r="1476" spans="1:5" ht="12.75" customHeight="1" x14ac:dyDescent="0.3">
      <c r="A1476" s="2" t="s">
        <v>2984</v>
      </c>
      <c r="B1476" s="2" t="s">
        <v>13</v>
      </c>
      <c r="C1476" s="3" t="str">
        <f>HYPERLINK("https://springer.com/12596")</f>
        <v>https://springer.com/12596</v>
      </c>
      <c r="D1476" s="2" t="s">
        <v>2985</v>
      </c>
      <c r="E1476" s="2" t="s">
        <v>8</v>
      </c>
    </row>
    <row r="1477" spans="1:5" ht="12.75" customHeight="1" x14ac:dyDescent="0.3">
      <c r="A1477" s="2" t="s">
        <v>2986</v>
      </c>
      <c r="B1477" s="2" t="s">
        <v>181</v>
      </c>
      <c r="C1477" s="3" t="str">
        <f>HYPERLINK("https://springer.com/12597")</f>
        <v>https://springer.com/12597</v>
      </c>
      <c r="D1477" s="2" t="s">
        <v>2987</v>
      </c>
      <c r="E1477" s="2" t="s">
        <v>8</v>
      </c>
    </row>
    <row r="1478" spans="1:5" ht="12.75" customHeight="1" x14ac:dyDescent="0.3">
      <c r="A1478" s="2" t="s">
        <v>2988</v>
      </c>
      <c r="B1478" s="2" t="s">
        <v>396</v>
      </c>
      <c r="C1478" s="3" t="str">
        <f>HYPERLINK("https://springer.com/12598")</f>
        <v>https://springer.com/12598</v>
      </c>
      <c r="D1478" s="2" t="s">
        <v>2989</v>
      </c>
      <c r="E1478" s="2" t="s">
        <v>8</v>
      </c>
    </row>
    <row r="1479" spans="1:5" ht="12.75" customHeight="1" x14ac:dyDescent="0.3">
      <c r="A1479" s="2" t="s">
        <v>2990</v>
      </c>
      <c r="B1479" s="2" t="s">
        <v>181</v>
      </c>
      <c r="C1479" s="3" t="str">
        <f>HYPERLINK("https://springer.com/12599")</f>
        <v>https://springer.com/12599</v>
      </c>
      <c r="D1479" s="2" t="s">
        <v>2991</v>
      </c>
      <c r="E1479" s="2" t="s">
        <v>8</v>
      </c>
    </row>
    <row r="1480" spans="1:5" ht="12.75" customHeight="1" x14ac:dyDescent="0.3">
      <c r="A1480" s="2" t="s">
        <v>2992</v>
      </c>
      <c r="B1480" s="2" t="s">
        <v>6</v>
      </c>
      <c r="C1480" s="3" t="str">
        <f>HYPERLINK("https://springer.com/12600")</f>
        <v>https://springer.com/12600</v>
      </c>
      <c r="D1480" s="2" t="s">
        <v>2993</v>
      </c>
      <c r="E1480" s="2" t="s">
        <v>8</v>
      </c>
    </row>
    <row r="1481" spans="1:5" ht="12.75" customHeight="1" x14ac:dyDescent="0.3">
      <c r="A1481" s="2" t="s">
        <v>2994</v>
      </c>
      <c r="B1481" s="2" t="s">
        <v>26</v>
      </c>
      <c r="C1481" s="3" t="str">
        <f>HYPERLINK("https://springer.com/12601")</f>
        <v>https://springer.com/12601</v>
      </c>
      <c r="D1481" s="2" t="s">
        <v>2995</v>
      </c>
      <c r="E1481" s="2" t="s">
        <v>8</v>
      </c>
    </row>
    <row r="1482" spans="1:5" ht="12.75" customHeight="1" x14ac:dyDescent="0.3">
      <c r="A1482" s="2" t="s">
        <v>2996</v>
      </c>
      <c r="B1482" s="2" t="s">
        <v>6</v>
      </c>
      <c r="C1482" s="3" t="str">
        <f>HYPERLINK("https://springer.com/12602")</f>
        <v>https://springer.com/12602</v>
      </c>
      <c r="D1482" s="2" t="s">
        <v>2997</v>
      </c>
      <c r="E1482" s="2" t="s">
        <v>8</v>
      </c>
    </row>
    <row r="1483" spans="1:5" ht="12.75" customHeight="1" x14ac:dyDescent="0.3">
      <c r="A1483" s="2" t="s">
        <v>2998</v>
      </c>
      <c r="B1483" s="2" t="s">
        <v>218</v>
      </c>
      <c r="C1483" s="3" t="str">
        <f>HYPERLINK("https://springer.com/12604")</f>
        <v>https://springer.com/12604</v>
      </c>
      <c r="D1483" s="2" t="s">
        <v>2999</v>
      </c>
      <c r="E1483" s="2"/>
    </row>
    <row r="1484" spans="1:5" ht="12.75" customHeight="1" x14ac:dyDescent="0.3">
      <c r="A1484" s="2" t="s">
        <v>3000</v>
      </c>
      <c r="B1484" s="2" t="s">
        <v>13</v>
      </c>
      <c r="C1484" s="3" t="str">
        <f>HYPERLINK("https://springer.com/12605")</f>
        <v>https://springer.com/12605</v>
      </c>
      <c r="D1484" s="2" t="s">
        <v>3001</v>
      </c>
      <c r="E1484" s="2"/>
    </row>
    <row r="1485" spans="1:5" ht="12.75" customHeight="1" x14ac:dyDescent="0.3">
      <c r="A1485" s="2" t="s">
        <v>3002</v>
      </c>
      <c r="B1485" s="2" t="s">
        <v>10</v>
      </c>
      <c r="C1485" s="3" t="str">
        <f>HYPERLINK("https://springer.com/12607")</f>
        <v>https://springer.com/12607</v>
      </c>
      <c r="D1485" s="2" t="s">
        <v>3003</v>
      </c>
      <c r="E1485" s="2"/>
    </row>
    <row r="1486" spans="1:5" ht="12.75" customHeight="1" x14ac:dyDescent="0.3">
      <c r="A1486" s="2" t="s">
        <v>3004</v>
      </c>
      <c r="B1486" s="2" t="s">
        <v>10</v>
      </c>
      <c r="C1486" s="3" t="str">
        <f>HYPERLINK("https://springer.com/12608")</f>
        <v>https://springer.com/12608</v>
      </c>
      <c r="D1486" s="2" t="s">
        <v>3005</v>
      </c>
      <c r="E1486" s="2"/>
    </row>
    <row r="1487" spans="1:5" ht="12.75" customHeight="1" x14ac:dyDescent="0.3">
      <c r="A1487" s="2" t="s">
        <v>3006</v>
      </c>
      <c r="B1487" s="2" t="s">
        <v>78</v>
      </c>
      <c r="C1487" s="3" t="str">
        <f>HYPERLINK("https://springer.com/12609")</f>
        <v>https://springer.com/12609</v>
      </c>
      <c r="D1487" s="2" t="s">
        <v>3007</v>
      </c>
      <c r="E1487" s="2" t="s">
        <v>8</v>
      </c>
    </row>
    <row r="1488" spans="1:5" ht="12.75" customHeight="1" x14ac:dyDescent="0.3">
      <c r="A1488" s="2" t="s">
        <v>3008</v>
      </c>
      <c r="B1488" s="2" t="s">
        <v>396</v>
      </c>
      <c r="C1488" s="3" t="str">
        <f>HYPERLINK("https://springer.com/12613")</f>
        <v>https://springer.com/12613</v>
      </c>
      <c r="D1488" s="2" t="s">
        <v>3009</v>
      </c>
      <c r="E1488" s="2" t="s">
        <v>8</v>
      </c>
    </row>
    <row r="1489" spans="1:5" ht="12.75" customHeight="1" x14ac:dyDescent="0.3">
      <c r="A1489" s="2" t="s">
        <v>3010</v>
      </c>
      <c r="B1489" s="2" t="s">
        <v>181</v>
      </c>
      <c r="C1489" s="3" t="str">
        <f>HYPERLINK("https://springer.com/12626")</f>
        <v>https://springer.com/12626</v>
      </c>
      <c r="D1489" s="2" t="s">
        <v>3011</v>
      </c>
      <c r="E1489" s="2" t="s">
        <v>8</v>
      </c>
    </row>
    <row r="1490" spans="1:5" ht="12.75" customHeight="1" x14ac:dyDescent="0.3">
      <c r="A1490" s="2" t="s">
        <v>3012</v>
      </c>
      <c r="B1490" s="2" t="s">
        <v>78</v>
      </c>
      <c r="C1490" s="3" t="str">
        <f>HYPERLINK("https://springer.com/12630")</f>
        <v>https://springer.com/12630</v>
      </c>
      <c r="D1490" s="2" t="s">
        <v>3013</v>
      </c>
      <c r="E1490" s="2" t="s">
        <v>141</v>
      </c>
    </row>
    <row r="1491" spans="1:5" ht="12.75" customHeight="1" x14ac:dyDescent="0.3">
      <c r="A1491" s="2" t="s">
        <v>3014</v>
      </c>
      <c r="B1491" s="2" t="s">
        <v>218</v>
      </c>
      <c r="C1491" s="3" t="str">
        <f>HYPERLINK("https://springer.com/12633")</f>
        <v>https://springer.com/12633</v>
      </c>
      <c r="D1491" s="2" t="s">
        <v>3015</v>
      </c>
      <c r="E1491" s="2" t="s">
        <v>8</v>
      </c>
    </row>
    <row r="1492" spans="1:5" ht="12.75" customHeight="1" x14ac:dyDescent="0.3">
      <c r="A1492" s="2" t="s">
        <v>3016</v>
      </c>
      <c r="B1492" s="2" t="s">
        <v>78</v>
      </c>
      <c r="C1492" s="3" t="str">
        <f>HYPERLINK("https://springer.com/12639")</f>
        <v>https://springer.com/12639</v>
      </c>
      <c r="D1492" s="2" t="s">
        <v>3017</v>
      </c>
      <c r="E1492" s="2" t="s">
        <v>8</v>
      </c>
    </row>
    <row r="1493" spans="1:5" ht="12.75" customHeight="1" x14ac:dyDescent="0.3">
      <c r="A1493" s="2" t="s">
        <v>3018</v>
      </c>
      <c r="B1493" s="2" t="s">
        <v>20</v>
      </c>
      <c r="C1493" s="3" t="str">
        <f>HYPERLINK("https://springer.com/12640")</f>
        <v>https://springer.com/12640</v>
      </c>
      <c r="D1493" s="2" t="s">
        <v>3019</v>
      </c>
      <c r="E1493" s="2" t="s">
        <v>8</v>
      </c>
    </row>
    <row r="1494" spans="1:5" ht="12.75" customHeight="1" x14ac:dyDescent="0.3">
      <c r="A1494" s="2" t="s">
        <v>3020</v>
      </c>
      <c r="B1494" s="2" t="s">
        <v>443</v>
      </c>
      <c r="C1494" s="3" t="str">
        <f>HYPERLINK("https://springer.com/12646")</f>
        <v>https://springer.com/12646</v>
      </c>
      <c r="D1494" s="2" t="s">
        <v>3021</v>
      </c>
      <c r="E1494" s="2" t="s">
        <v>8</v>
      </c>
    </row>
    <row r="1495" spans="1:5" ht="12.75" customHeight="1" x14ac:dyDescent="0.3">
      <c r="A1495" s="2" t="s">
        <v>3022</v>
      </c>
      <c r="B1495" s="2" t="s">
        <v>13</v>
      </c>
      <c r="C1495" s="3" t="str">
        <f>HYPERLINK("https://springer.com/12647")</f>
        <v>https://springer.com/12647</v>
      </c>
      <c r="D1495" s="2" t="s">
        <v>3023</v>
      </c>
      <c r="E1495" s="2" t="s">
        <v>8</v>
      </c>
    </row>
    <row r="1496" spans="1:5" ht="12.75" customHeight="1" x14ac:dyDescent="0.3">
      <c r="A1496" s="2" t="s">
        <v>3024</v>
      </c>
      <c r="B1496" s="2" t="s">
        <v>13</v>
      </c>
      <c r="C1496" s="3" t="str">
        <f>HYPERLINK("https://springer.com/12648")</f>
        <v>https://springer.com/12648</v>
      </c>
      <c r="D1496" s="2" t="s">
        <v>3025</v>
      </c>
      <c r="E1496" s="2" t="s">
        <v>8</v>
      </c>
    </row>
    <row r="1497" spans="1:5" ht="12.75" customHeight="1" x14ac:dyDescent="0.3">
      <c r="A1497" s="2" t="s">
        <v>3026</v>
      </c>
      <c r="B1497" s="2" t="s">
        <v>56</v>
      </c>
      <c r="C1497" s="3" t="str">
        <f>HYPERLINK("https://springer.com/12649")</f>
        <v>https://springer.com/12649</v>
      </c>
      <c r="D1497" s="2" t="s">
        <v>3027</v>
      </c>
      <c r="E1497" s="2" t="s">
        <v>8</v>
      </c>
    </row>
    <row r="1498" spans="1:5" ht="12.75" customHeight="1" x14ac:dyDescent="0.3">
      <c r="A1498" s="2" t="s">
        <v>3028</v>
      </c>
      <c r="B1498" s="2" t="s">
        <v>56</v>
      </c>
      <c r="C1498" s="3" t="str">
        <f>HYPERLINK("https://springer.com/12650")</f>
        <v>https://springer.com/12650</v>
      </c>
      <c r="D1498" s="2" t="s">
        <v>3029</v>
      </c>
      <c r="E1498" s="2" t="s">
        <v>8</v>
      </c>
    </row>
    <row r="1499" spans="1:5" ht="12.75" customHeight="1" x14ac:dyDescent="0.3">
      <c r="A1499" s="2" t="s">
        <v>3030</v>
      </c>
      <c r="B1499" s="2" t="s">
        <v>56</v>
      </c>
      <c r="C1499" s="3" t="str">
        <f>HYPERLINK("https://springer.com/12652")</f>
        <v>https://springer.com/12652</v>
      </c>
      <c r="D1499" s="2" t="s">
        <v>3031</v>
      </c>
      <c r="E1499" s="2" t="s">
        <v>8</v>
      </c>
    </row>
    <row r="1500" spans="1:5" ht="12.75" customHeight="1" x14ac:dyDescent="0.3">
      <c r="A1500" s="2" t="s">
        <v>3032</v>
      </c>
      <c r="B1500" s="2" t="s">
        <v>6</v>
      </c>
      <c r="C1500" s="3" t="str">
        <f>HYPERLINK("https://springer.com/12662")</f>
        <v>https://springer.com/12662</v>
      </c>
      <c r="D1500" s="2" t="s">
        <v>3033</v>
      </c>
      <c r="E1500" s="2" t="s">
        <v>8</v>
      </c>
    </row>
    <row r="1501" spans="1:5" ht="12.75" customHeight="1" x14ac:dyDescent="0.3">
      <c r="A1501" s="2" t="s">
        <v>3034</v>
      </c>
      <c r="B1501" s="2" t="s">
        <v>78</v>
      </c>
      <c r="C1501" s="3" t="str">
        <f>HYPERLINK("https://springer.com/12663")</f>
        <v>https://springer.com/12663</v>
      </c>
      <c r="D1501" s="2" t="s">
        <v>3035</v>
      </c>
      <c r="E1501" s="2" t="s">
        <v>8</v>
      </c>
    </row>
    <row r="1502" spans="1:5" ht="12.75" customHeight="1" x14ac:dyDescent="0.3">
      <c r="A1502" s="2" t="s">
        <v>3036</v>
      </c>
      <c r="B1502" s="2" t="s">
        <v>78</v>
      </c>
      <c r="C1502" s="3" t="str">
        <f>HYPERLINK("https://springer.com/12664")</f>
        <v>https://springer.com/12664</v>
      </c>
      <c r="D1502" s="2" t="s">
        <v>3037</v>
      </c>
      <c r="E1502" s="2" t="s">
        <v>8</v>
      </c>
    </row>
    <row r="1503" spans="1:5" ht="12.75" customHeight="1" x14ac:dyDescent="0.3">
      <c r="A1503" s="2" t="s">
        <v>3038</v>
      </c>
      <c r="B1503" s="2" t="s">
        <v>26</v>
      </c>
      <c r="C1503" s="3" t="str">
        <f>HYPERLINK("https://springer.com/12665")</f>
        <v>https://springer.com/12665</v>
      </c>
      <c r="D1503" s="2" t="s">
        <v>3039</v>
      </c>
      <c r="E1503" s="2" t="s">
        <v>8</v>
      </c>
    </row>
    <row r="1504" spans="1:5" ht="12.75" customHeight="1" x14ac:dyDescent="0.3">
      <c r="A1504" s="2" t="s">
        <v>3040</v>
      </c>
      <c r="B1504" s="2" t="s">
        <v>396</v>
      </c>
      <c r="C1504" s="3" t="str">
        <f>HYPERLINK("https://springer.com/12666")</f>
        <v>https://springer.com/12666</v>
      </c>
      <c r="D1504" s="2" t="s">
        <v>3041</v>
      </c>
      <c r="E1504" s="2" t="s">
        <v>8</v>
      </c>
    </row>
    <row r="1505" spans="1:5" ht="12.75" customHeight="1" x14ac:dyDescent="0.3">
      <c r="A1505" s="2" t="s">
        <v>3042</v>
      </c>
      <c r="B1505" s="2" t="s">
        <v>1272</v>
      </c>
      <c r="C1505" s="3" t="str">
        <f>HYPERLINK("https://springer.com/12667")</f>
        <v>https://springer.com/12667</v>
      </c>
      <c r="D1505" s="2" t="s">
        <v>3043</v>
      </c>
      <c r="E1505" s="2" t="s">
        <v>8</v>
      </c>
    </row>
    <row r="1506" spans="1:5" ht="12.75" customHeight="1" x14ac:dyDescent="0.3">
      <c r="A1506" s="2" t="s">
        <v>3044</v>
      </c>
      <c r="B1506" s="2" t="s">
        <v>56</v>
      </c>
      <c r="C1506" s="3" t="str">
        <f>HYPERLINK("https://springer.com/12668")</f>
        <v>https://springer.com/12668</v>
      </c>
      <c r="D1506" s="2" t="s">
        <v>3045</v>
      </c>
      <c r="E1506" s="2" t="s">
        <v>8</v>
      </c>
    </row>
    <row r="1507" spans="1:5" ht="12.75" customHeight="1" x14ac:dyDescent="0.3">
      <c r="A1507" s="2" t="s">
        <v>3046</v>
      </c>
      <c r="B1507" s="2" t="s">
        <v>443</v>
      </c>
      <c r="C1507" s="3" t="str">
        <f>HYPERLINK("https://springer.com/12671")</f>
        <v>https://springer.com/12671</v>
      </c>
      <c r="D1507" s="2" t="s">
        <v>3047</v>
      </c>
      <c r="E1507" s="2" t="s">
        <v>8</v>
      </c>
    </row>
    <row r="1508" spans="1:5" ht="12.75" customHeight="1" x14ac:dyDescent="0.3">
      <c r="A1508" s="2" t="s">
        <v>3048</v>
      </c>
      <c r="B1508" s="2" t="s">
        <v>218</v>
      </c>
      <c r="C1508" s="3" t="str">
        <f>HYPERLINK("https://springer.com/12678")</f>
        <v>https://springer.com/12678</v>
      </c>
      <c r="D1508" s="2" t="s">
        <v>3049</v>
      </c>
      <c r="E1508" s="2" t="s">
        <v>8</v>
      </c>
    </row>
    <row r="1509" spans="1:5" ht="12.75" customHeight="1" x14ac:dyDescent="0.3">
      <c r="A1509" s="2" t="s">
        <v>3050</v>
      </c>
      <c r="B1509" s="2" t="s">
        <v>133</v>
      </c>
      <c r="C1509" s="3" t="str">
        <f>HYPERLINK("https://springer.com/12685")</f>
        <v>https://springer.com/12685</v>
      </c>
      <c r="D1509" s="2" t="s">
        <v>3051</v>
      </c>
      <c r="E1509" s="2" t="s">
        <v>8</v>
      </c>
    </row>
    <row r="1510" spans="1:5" ht="12.75" customHeight="1" x14ac:dyDescent="0.3">
      <c r="A1510" s="2" t="s">
        <v>3052</v>
      </c>
      <c r="B1510" s="2" t="s">
        <v>6</v>
      </c>
      <c r="C1510" s="3" t="str">
        <f>HYPERLINK("https://springer.com/12686")</f>
        <v>https://springer.com/12686</v>
      </c>
      <c r="D1510" s="2" t="s">
        <v>3053</v>
      </c>
      <c r="E1510" s="2" t="s">
        <v>8</v>
      </c>
    </row>
    <row r="1511" spans="1:5" ht="12.75" customHeight="1" x14ac:dyDescent="0.3">
      <c r="A1511" s="2" t="s">
        <v>3054</v>
      </c>
      <c r="B1511" s="2" t="s">
        <v>20</v>
      </c>
      <c r="C1511" s="3" t="str">
        <f>HYPERLINK("https://springer.com/12687")</f>
        <v>https://springer.com/12687</v>
      </c>
      <c r="D1511" s="2" t="s">
        <v>3055</v>
      </c>
      <c r="E1511" s="2" t="s">
        <v>8</v>
      </c>
    </row>
    <row r="1512" spans="1:5" ht="12.75" customHeight="1" x14ac:dyDescent="0.3">
      <c r="A1512" s="2" t="s">
        <v>3056</v>
      </c>
      <c r="B1512" s="2" t="s">
        <v>78</v>
      </c>
      <c r="C1512" s="3" t="str">
        <f>HYPERLINK("https://springer.com/12688")</f>
        <v>https://springer.com/12688</v>
      </c>
      <c r="D1512" s="2" t="s">
        <v>3057</v>
      </c>
      <c r="E1512" s="2" t="s">
        <v>8</v>
      </c>
    </row>
    <row r="1513" spans="1:5" ht="12.75" customHeight="1" x14ac:dyDescent="0.3">
      <c r="A1513" s="2" t="s">
        <v>3058</v>
      </c>
      <c r="B1513" s="2" t="s">
        <v>347</v>
      </c>
      <c r="C1513" s="3" t="str">
        <f>HYPERLINK("https://springer.com/12689")</f>
        <v>https://springer.com/12689</v>
      </c>
      <c r="D1513" s="2" t="s">
        <v>3059</v>
      </c>
      <c r="E1513" s="2" t="s">
        <v>8</v>
      </c>
    </row>
    <row r="1514" spans="1:5" ht="12.75" customHeight="1" x14ac:dyDescent="0.3">
      <c r="A1514" s="2" t="s">
        <v>3060</v>
      </c>
      <c r="B1514" s="2" t="s">
        <v>6</v>
      </c>
      <c r="C1514" s="3" t="str">
        <f>HYPERLINK("https://springer.com/12892")</f>
        <v>https://springer.com/12892</v>
      </c>
      <c r="D1514" s="2" t="s">
        <v>3061</v>
      </c>
      <c r="E1514" s="2" t="s">
        <v>8</v>
      </c>
    </row>
    <row r="1515" spans="1:5" ht="12.75" customHeight="1" x14ac:dyDescent="0.3">
      <c r="A1515" s="2" t="s">
        <v>3062</v>
      </c>
      <c r="B1515" s="2" t="s">
        <v>78</v>
      </c>
      <c r="C1515" s="3" t="str">
        <f>HYPERLINK("https://springer.com/12928")</f>
        <v>https://springer.com/12928</v>
      </c>
      <c r="D1515" s="2" t="s">
        <v>3063</v>
      </c>
      <c r="E1515" s="2" t="s">
        <v>8</v>
      </c>
    </row>
    <row r="1516" spans="1:5" ht="12.75" customHeight="1" x14ac:dyDescent="0.3">
      <c r="A1516" s="2" t="s">
        <v>3064</v>
      </c>
      <c r="B1516" s="2" t="s">
        <v>20</v>
      </c>
      <c r="C1516" s="3" t="str">
        <f>HYPERLINK("https://springer.com/12975")</f>
        <v>https://springer.com/12975</v>
      </c>
      <c r="D1516" s="2" t="s">
        <v>3065</v>
      </c>
      <c r="E1516" s="2" t="s">
        <v>8</v>
      </c>
    </row>
    <row r="1517" spans="1:5" ht="12.75" customHeight="1" x14ac:dyDescent="0.3">
      <c r="A1517" s="2" t="s">
        <v>3066</v>
      </c>
      <c r="B1517" s="2" t="s">
        <v>56</v>
      </c>
      <c r="C1517" s="3" t="str">
        <f>HYPERLINK("https://springer.com/13042")</f>
        <v>https://springer.com/13042</v>
      </c>
      <c r="D1517" s="2" t="s">
        <v>3067</v>
      </c>
      <c r="E1517" s="2" t="s">
        <v>8</v>
      </c>
    </row>
    <row r="1518" spans="1:5" ht="12.75" customHeight="1" x14ac:dyDescent="0.3">
      <c r="A1518" s="2" t="s">
        <v>3068</v>
      </c>
      <c r="B1518" s="2" t="s">
        <v>20</v>
      </c>
      <c r="C1518" s="3" t="str">
        <f>HYPERLINK("https://springer.com/13105")</f>
        <v>https://springer.com/13105</v>
      </c>
      <c r="D1518" s="2" t="s">
        <v>3069</v>
      </c>
      <c r="E1518" s="2" t="s">
        <v>8</v>
      </c>
    </row>
    <row r="1519" spans="1:5" ht="12.75" customHeight="1" x14ac:dyDescent="0.3">
      <c r="A1519" s="2" t="s">
        <v>3070</v>
      </c>
      <c r="B1519" s="2" t="s">
        <v>6</v>
      </c>
      <c r="C1519" s="3" t="str">
        <f>HYPERLINK("https://springer.com/13127")</f>
        <v>https://springer.com/13127</v>
      </c>
      <c r="D1519" s="2" t="s">
        <v>3071</v>
      </c>
      <c r="E1519" s="2" t="s">
        <v>8</v>
      </c>
    </row>
    <row r="1520" spans="1:5" ht="12.75" customHeight="1" x14ac:dyDescent="0.3">
      <c r="A1520" s="2" t="s">
        <v>3072</v>
      </c>
      <c r="B1520" s="2" t="s">
        <v>13</v>
      </c>
      <c r="C1520" s="3" t="str">
        <f>HYPERLINK("https://springer.com/13129")</f>
        <v>https://springer.com/13129</v>
      </c>
      <c r="D1520" s="2" t="s">
        <v>3073</v>
      </c>
      <c r="E1520" s="2" t="s">
        <v>8</v>
      </c>
    </row>
    <row r="1521" spans="1:5" ht="12.75" customHeight="1" x14ac:dyDescent="0.3">
      <c r="A1521" s="2" t="s">
        <v>3074</v>
      </c>
      <c r="B1521" s="2" t="s">
        <v>26</v>
      </c>
      <c r="C1521" s="3" t="str">
        <f>HYPERLINK("https://springer.com/13131")</f>
        <v>https://springer.com/13131</v>
      </c>
      <c r="D1521" s="2" t="s">
        <v>3075</v>
      </c>
      <c r="E1521" s="2" t="s">
        <v>8</v>
      </c>
    </row>
    <row r="1522" spans="1:5" ht="12.75" customHeight="1" x14ac:dyDescent="0.3">
      <c r="A1522" s="2" t="s">
        <v>3076</v>
      </c>
      <c r="B1522" s="2" t="s">
        <v>151</v>
      </c>
      <c r="C1522" s="3" t="str">
        <f>HYPERLINK("https://springer.com/13132")</f>
        <v>https://springer.com/13132</v>
      </c>
      <c r="D1522" s="2" t="s">
        <v>3077</v>
      </c>
      <c r="E1522" s="2" t="s">
        <v>8</v>
      </c>
    </row>
    <row r="1523" spans="1:5" ht="12.75" customHeight="1" x14ac:dyDescent="0.3">
      <c r="A1523" s="2" t="s">
        <v>3078</v>
      </c>
      <c r="B1523" s="2" t="s">
        <v>10</v>
      </c>
      <c r="C1523" s="3" t="str">
        <f>HYPERLINK("https://springer.com/13137")</f>
        <v>https://springer.com/13137</v>
      </c>
      <c r="D1523" s="2" t="s">
        <v>3079</v>
      </c>
      <c r="E1523" s="2" t="s">
        <v>8</v>
      </c>
    </row>
    <row r="1524" spans="1:5" ht="12.75" customHeight="1" x14ac:dyDescent="0.3">
      <c r="A1524" s="2" t="s">
        <v>3080</v>
      </c>
      <c r="B1524" s="2" t="s">
        <v>753</v>
      </c>
      <c r="C1524" s="3" t="str">
        <f>HYPERLINK("https://springer.com/13138")</f>
        <v>https://springer.com/13138</v>
      </c>
      <c r="D1524" s="2" t="s">
        <v>3081</v>
      </c>
      <c r="E1524" s="2" t="s">
        <v>8</v>
      </c>
    </row>
    <row r="1525" spans="1:5" ht="12.75" customHeight="1" x14ac:dyDescent="0.3">
      <c r="A1525" s="2" t="s">
        <v>3082</v>
      </c>
      <c r="B1525" s="2" t="s">
        <v>78</v>
      </c>
      <c r="C1525" s="3" t="str">
        <f>HYPERLINK("https://springer.com/13139")</f>
        <v>https://springer.com/13139</v>
      </c>
      <c r="D1525" s="2" t="s">
        <v>3083</v>
      </c>
      <c r="E1525" s="2" t="s">
        <v>8</v>
      </c>
    </row>
    <row r="1526" spans="1:5" ht="12.75" customHeight="1" x14ac:dyDescent="0.3">
      <c r="A1526" s="2" t="s">
        <v>3084</v>
      </c>
      <c r="B1526" s="2" t="s">
        <v>56</v>
      </c>
      <c r="C1526" s="3" t="str">
        <f>HYPERLINK("https://springer.com/13140")</f>
        <v>https://springer.com/13140</v>
      </c>
      <c r="D1526" s="2" t="s">
        <v>3085</v>
      </c>
      <c r="E1526" s="2"/>
    </row>
    <row r="1527" spans="1:5" ht="12.75" customHeight="1" x14ac:dyDescent="0.3">
      <c r="A1527" s="2" t="s">
        <v>3086</v>
      </c>
      <c r="B1527" s="2" t="s">
        <v>26</v>
      </c>
      <c r="C1527" s="3" t="str">
        <f>HYPERLINK("https://springer.com/13143")</f>
        <v>https://springer.com/13143</v>
      </c>
      <c r="D1527" s="2" t="s">
        <v>3087</v>
      </c>
      <c r="E1527" s="2" t="s">
        <v>8</v>
      </c>
    </row>
    <row r="1528" spans="1:5" ht="12.75" customHeight="1" x14ac:dyDescent="0.3">
      <c r="A1528" s="2" t="s">
        <v>3088</v>
      </c>
      <c r="B1528" s="2" t="s">
        <v>26</v>
      </c>
      <c r="C1528" s="3" t="str">
        <f>HYPERLINK("https://springer.com/13146")</f>
        <v>https://springer.com/13146</v>
      </c>
      <c r="D1528" s="2" t="s">
        <v>3089</v>
      </c>
      <c r="E1528" s="2" t="s">
        <v>8</v>
      </c>
    </row>
    <row r="1529" spans="1:5" ht="12.75" customHeight="1" x14ac:dyDescent="0.3">
      <c r="A1529" s="2" t="s">
        <v>3090</v>
      </c>
      <c r="B1529" s="2" t="s">
        <v>6</v>
      </c>
      <c r="C1529" s="3" t="str">
        <f>HYPERLINK("https://springer.com/13157")</f>
        <v>https://springer.com/13157</v>
      </c>
      <c r="D1529" s="2" t="s">
        <v>3091</v>
      </c>
      <c r="E1529" s="2" t="s">
        <v>8</v>
      </c>
    </row>
    <row r="1530" spans="1:5" ht="12.75" customHeight="1" x14ac:dyDescent="0.3">
      <c r="A1530" s="2" t="s">
        <v>3092</v>
      </c>
      <c r="B1530" s="2" t="s">
        <v>753</v>
      </c>
      <c r="C1530" s="3" t="str">
        <f>HYPERLINK("https://springer.com/13158")</f>
        <v>https://springer.com/13158</v>
      </c>
      <c r="D1530" s="2" t="s">
        <v>3093</v>
      </c>
      <c r="E1530" s="2" t="s">
        <v>8</v>
      </c>
    </row>
    <row r="1531" spans="1:5" ht="12.75" customHeight="1" x14ac:dyDescent="0.3">
      <c r="A1531" s="2" t="s">
        <v>3094</v>
      </c>
      <c r="B1531" s="2" t="s">
        <v>10</v>
      </c>
      <c r="C1531" s="3" t="str">
        <f>HYPERLINK("https://springer.com/13160")</f>
        <v>https://springer.com/13160</v>
      </c>
      <c r="D1531" s="2" t="s">
        <v>3095</v>
      </c>
      <c r="E1531" s="2" t="s">
        <v>8</v>
      </c>
    </row>
    <row r="1532" spans="1:5" ht="12.75" customHeight="1" x14ac:dyDescent="0.3">
      <c r="A1532" s="2" t="s">
        <v>3096</v>
      </c>
      <c r="B1532" s="2" t="s">
        <v>181</v>
      </c>
      <c r="C1532" s="3" t="str">
        <f>HYPERLINK("https://springer.com/13162")</f>
        <v>https://springer.com/13162</v>
      </c>
      <c r="D1532" s="2" t="s">
        <v>3097</v>
      </c>
      <c r="E1532" s="2" t="s">
        <v>8</v>
      </c>
    </row>
    <row r="1533" spans="1:5" ht="12.75" customHeight="1" x14ac:dyDescent="0.3">
      <c r="A1533" s="2" t="s">
        <v>3098</v>
      </c>
      <c r="B1533" s="2" t="s">
        <v>10</v>
      </c>
      <c r="C1533" s="3" t="str">
        <f>HYPERLINK("https://springer.com/13163")</f>
        <v>https://springer.com/13163</v>
      </c>
      <c r="D1533" s="2" t="s">
        <v>3099</v>
      </c>
      <c r="E1533" s="2" t="s">
        <v>8</v>
      </c>
    </row>
    <row r="1534" spans="1:5" ht="12.75" customHeight="1" x14ac:dyDescent="0.3">
      <c r="A1534" s="2" t="s">
        <v>3100</v>
      </c>
      <c r="B1534" s="2" t="s">
        <v>868</v>
      </c>
      <c r="C1534" s="3" t="str">
        <f>HYPERLINK("https://springer.com/13164")</f>
        <v>https://springer.com/13164</v>
      </c>
      <c r="D1534" s="2" t="s">
        <v>3101</v>
      </c>
      <c r="E1534" s="2" t="s">
        <v>8</v>
      </c>
    </row>
    <row r="1535" spans="1:5" ht="12.75" customHeight="1" x14ac:dyDescent="0.3">
      <c r="A1535" s="2" t="s">
        <v>3102</v>
      </c>
      <c r="B1535" s="2" t="s">
        <v>6</v>
      </c>
      <c r="C1535" s="3" t="str">
        <f>HYPERLINK("https://springer.com/13165")</f>
        <v>https://springer.com/13165</v>
      </c>
      <c r="D1535" s="2" t="s">
        <v>3103</v>
      </c>
      <c r="E1535" s="2" t="s">
        <v>8</v>
      </c>
    </row>
    <row r="1536" spans="1:5" ht="12.75" customHeight="1" x14ac:dyDescent="0.3">
      <c r="A1536" s="2" t="s">
        <v>3104</v>
      </c>
      <c r="B1536" s="2" t="s">
        <v>20</v>
      </c>
      <c r="C1536" s="3" t="str">
        <f>HYPERLINK("https://springer.com/13167")</f>
        <v>https://springer.com/13167</v>
      </c>
      <c r="D1536" s="2" t="s">
        <v>3105</v>
      </c>
      <c r="E1536" s="2" t="s">
        <v>8</v>
      </c>
    </row>
    <row r="1537" spans="1:5" ht="12.75" customHeight="1" x14ac:dyDescent="0.3">
      <c r="A1537" s="2" t="s">
        <v>3106</v>
      </c>
      <c r="B1537" s="2" t="s">
        <v>6</v>
      </c>
      <c r="C1537" s="3" t="str">
        <f>HYPERLINK("https://springer.com/13168")</f>
        <v>https://springer.com/13168</v>
      </c>
      <c r="D1537" s="2" t="s">
        <v>3107</v>
      </c>
      <c r="E1537" s="2"/>
    </row>
    <row r="1538" spans="1:5" ht="12.75" customHeight="1" x14ac:dyDescent="0.3">
      <c r="A1538" s="2" t="s">
        <v>3108</v>
      </c>
      <c r="B1538" s="2" t="s">
        <v>170</v>
      </c>
      <c r="C1538" s="3" t="str">
        <f>HYPERLINK("https://springer.com/13171")</f>
        <v>https://springer.com/13171</v>
      </c>
      <c r="D1538" s="2" t="s">
        <v>3109</v>
      </c>
      <c r="E1538" s="2" t="s">
        <v>8</v>
      </c>
    </row>
    <row r="1539" spans="1:5" ht="12.75" customHeight="1" x14ac:dyDescent="0.3">
      <c r="A1539" s="2" t="s">
        <v>3110</v>
      </c>
      <c r="B1539" s="2" t="s">
        <v>56</v>
      </c>
      <c r="C1539" s="3" t="str">
        <f>HYPERLINK("https://springer.com/13177")</f>
        <v>https://springer.com/13177</v>
      </c>
      <c r="D1539" s="2" t="s">
        <v>3111</v>
      </c>
      <c r="E1539" s="2" t="s">
        <v>8</v>
      </c>
    </row>
    <row r="1540" spans="1:5" ht="12.75" customHeight="1" x14ac:dyDescent="0.3">
      <c r="A1540" s="2" t="s">
        <v>3112</v>
      </c>
      <c r="B1540" s="2" t="s">
        <v>443</v>
      </c>
      <c r="C1540" s="3" t="str">
        <f>HYPERLINK("https://springer.com/13178")</f>
        <v>https://springer.com/13178</v>
      </c>
      <c r="D1540" s="2" t="s">
        <v>3113</v>
      </c>
      <c r="E1540" s="2" t="s">
        <v>8</v>
      </c>
    </row>
    <row r="1541" spans="1:5" ht="12.75" customHeight="1" x14ac:dyDescent="0.3">
      <c r="A1541" s="2" t="s">
        <v>3114</v>
      </c>
      <c r="B1541" s="2" t="s">
        <v>20</v>
      </c>
      <c r="C1541" s="3" t="str">
        <f>HYPERLINK("https://springer.com/13181")</f>
        <v>https://springer.com/13181</v>
      </c>
      <c r="D1541" s="2" t="s">
        <v>3115</v>
      </c>
      <c r="E1541" s="2" t="s">
        <v>8</v>
      </c>
    </row>
    <row r="1542" spans="1:5" ht="12.75" customHeight="1" x14ac:dyDescent="0.3">
      <c r="A1542" s="2" t="s">
        <v>3116</v>
      </c>
      <c r="B1542" s="2" t="s">
        <v>20</v>
      </c>
      <c r="C1542" s="3" t="str">
        <f>HYPERLINK("https://springer.com/13187")</f>
        <v>https://springer.com/13187</v>
      </c>
      <c r="D1542" s="2" t="s">
        <v>3117</v>
      </c>
      <c r="E1542" s="2" t="s">
        <v>8</v>
      </c>
    </row>
    <row r="1543" spans="1:5" ht="12.75" customHeight="1" x14ac:dyDescent="0.3">
      <c r="A1543" s="2" t="s">
        <v>3118</v>
      </c>
      <c r="B1543" s="2" t="s">
        <v>218</v>
      </c>
      <c r="C1543" s="3" t="str">
        <f>HYPERLINK("https://springer.com/13188")</f>
        <v>https://springer.com/13188</v>
      </c>
      <c r="D1543" s="2" t="s">
        <v>3119</v>
      </c>
      <c r="E1543" s="2"/>
    </row>
    <row r="1544" spans="1:5" ht="12.75" customHeight="1" x14ac:dyDescent="0.3">
      <c r="A1544" s="2" t="s">
        <v>3120</v>
      </c>
      <c r="B1544" s="2" t="s">
        <v>78</v>
      </c>
      <c r="C1544" s="3" t="str">
        <f>HYPERLINK("https://springer.com/13193")</f>
        <v>https://springer.com/13193</v>
      </c>
      <c r="D1544" s="2" t="s">
        <v>3121</v>
      </c>
      <c r="E1544" s="2" t="s">
        <v>8</v>
      </c>
    </row>
    <row r="1545" spans="1:5" ht="12.75" customHeight="1" x14ac:dyDescent="0.3">
      <c r="A1545" s="2" t="s">
        <v>3122</v>
      </c>
      <c r="B1545" s="2" t="s">
        <v>868</v>
      </c>
      <c r="C1545" s="3" t="str">
        <f>HYPERLINK("https://springer.com/13194")</f>
        <v>https://springer.com/13194</v>
      </c>
      <c r="D1545" s="2" t="s">
        <v>3123</v>
      </c>
      <c r="E1545" s="2" t="s">
        <v>8</v>
      </c>
    </row>
    <row r="1546" spans="1:5" ht="12.75" customHeight="1" x14ac:dyDescent="0.3">
      <c r="A1546" s="2" t="s">
        <v>3124</v>
      </c>
      <c r="B1546" s="2" t="s">
        <v>6</v>
      </c>
      <c r="C1546" s="3" t="str">
        <f>HYPERLINK("https://springer.com/13196")</f>
        <v>https://springer.com/13196</v>
      </c>
      <c r="D1546" s="2" t="s">
        <v>3125</v>
      </c>
      <c r="E1546" s="2" t="s">
        <v>8</v>
      </c>
    </row>
    <row r="1547" spans="1:5" ht="12.75" customHeight="1" x14ac:dyDescent="0.3">
      <c r="A1547" s="2" t="s">
        <v>3126</v>
      </c>
      <c r="B1547" s="2" t="s">
        <v>218</v>
      </c>
      <c r="C1547" s="3" t="str">
        <f>HYPERLINK("https://springer.com/13197")</f>
        <v>https://springer.com/13197</v>
      </c>
      <c r="D1547" s="2" t="s">
        <v>3127</v>
      </c>
      <c r="E1547" s="2" t="s">
        <v>8</v>
      </c>
    </row>
    <row r="1548" spans="1:5" ht="12.75" customHeight="1" x14ac:dyDescent="0.3">
      <c r="A1548" s="2" t="s">
        <v>3128</v>
      </c>
      <c r="B1548" s="2" t="s">
        <v>56</v>
      </c>
      <c r="C1548" s="3" t="str">
        <f>HYPERLINK("https://springer.com/13198")</f>
        <v>https://springer.com/13198</v>
      </c>
      <c r="D1548" s="2" t="s">
        <v>3129</v>
      </c>
      <c r="E1548" s="2" t="s">
        <v>8</v>
      </c>
    </row>
    <row r="1549" spans="1:5" ht="12.75" customHeight="1" x14ac:dyDescent="0.3">
      <c r="A1549" s="2" t="s">
        <v>3130</v>
      </c>
      <c r="B1549" s="2" t="s">
        <v>6</v>
      </c>
      <c r="C1549" s="3" t="str">
        <f>HYPERLINK("https://springer.com/13199")</f>
        <v>https://springer.com/13199</v>
      </c>
      <c r="D1549" s="2" t="s">
        <v>3131</v>
      </c>
      <c r="E1549" s="2" t="s">
        <v>8</v>
      </c>
    </row>
    <row r="1550" spans="1:5" ht="12.75" customHeight="1" x14ac:dyDescent="0.3">
      <c r="A1550" s="2" t="s">
        <v>3132</v>
      </c>
      <c r="B1550" s="2" t="s">
        <v>396</v>
      </c>
      <c r="C1550" s="3" t="str">
        <f>HYPERLINK("https://springer.com/13204")</f>
        <v>https://springer.com/13204</v>
      </c>
      <c r="D1550" s="2" t="s">
        <v>3133</v>
      </c>
      <c r="E1550" s="2" t="s">
        <v>8</v>
      </c>
    </row>
    <row r="1551" spans="1:5" ht="12.75" customHeight="1" x14ac:dyDescent="0.3">
      <c r="A1551" s="2" t="s">
        <v>3134</v>
      </c>
      <c r="B1551" s="2" t="s">
        <v>218</v>
      </c>
      <c r="C1551" s="3" t="str">
        <f>HYPERLINK("https://springer.com/13205")</f>
        <v>https://springer.com/13205</v>
      </c>
      <c r="D1551" s="2" t="s">
        <v>3135</v>
      </c>
      <c r="E1551" s="2" t="s">
        <v>8</v>
      </c>
    </row>
    <row r="1552" spans="1:5" ht="12.75" customHeight="1" x14ac:dyDescent="0.3">
      <c r="A1552" s="2" t="s">
        <v>3136</v>
      </c>
      <c r="B1552" s="2" t="s">
        <v>218</v>
      </c>
      <c r="C1552" s="3" t="str">
        <f>HYPERLINK("https://springer.com/13206")</f>
        <v>https://springer.com/13206</v>
      </c>
      <c r="D1552" s="2" t="s">
        <v>3137</v>
      </c>
      <c r="E1552" s="2" t="s">
        <v>8</v>
      </c>
    </row>
    <row r="1553" spans="1:5" ht="12.75" customHeight="1" x14ac:dyDescent="0.3">
      <c r="A1553" s="2" t="s">
        <v>3138</v>
      </c>
      <c r="B1553" s="2" t="s">
        <v>151</v>
      </c>
      <c r="C1553" s="3" t="str">
        <f>HYPERLINK("https://springer.com/13209")</f>
        <v>https://springer.com/13209</v>
      </c>
      <c r="D1553" s="2" t="s">
        <v>3139</v>
      </c>
      <c r="E1553" s="2" t="s">
        <v>8</v>
      </c>
    </row>
    <row r="1554" spans="1:5" ht="12.75" customHeight="1" x14ac:dyDescent="0.3">
      <c r="A1554" s="2" t="s">
        <v>3140</v>
      </c>
      <c r="B1554" s="2" t="s">
        <v>63</v>
      </c>
      <c r="C1554" s="3" t="str">
        <f>HYPERLINK("https://springer.com/13218")</f>
        <v>https://springer.com/13218</v>
      </c>
      <c r="D1554" s="2" t="s">
        <v>3141</v>
      </c>
      <c r="E1554" s="2" t="s">
        <v>8</v>
      </c>
    </row>
    <row r="1555" spans="1:5" ht="12.75" customHeight="1" x14ac:dyDescent="0.3">
      <c r="A1555" s="2" t="s">
        <v>3142</v>
      </c>
      <c r="B1555" s="2" t="s">
        <v>63</v>
      </c>
      <c r="C1555" s="3" t="str">
        <f>HYPERLINK("https://springer.com/13222")</f>
        <v>https://springer.com/13222</v>
      </c>
      <c r="D1555" s="2" t="s">
        <v>3143</v>
      </c>
      <c r="E1555" s="2" t="s">
        <v>8</v>
      </c>
    </row>
    <row r="1556" spans="1:5" ht="12.75" customHeight="1" x14ac:dyDescent="0.3">
      <c r="A1556" s="2" t="s">
        <v>3144</v>
      </c>
      <c r="B1556" s="2" t="s">
        <v>78</v>
      </c>
      <c r="C1556" s="3" t="str">
        <f>HYPERLINK("https://springer.com/13224")</f>
        <v>https://springer.com/13224</v>
      </c>
      <c r="D1556" s="2" t="s">
        <v>3145</v>
      </c>
      <c r="E1556" s="2" t="s">
        <v>8</v>
      </c>
    </row>
    <row r="1557" spans="1:5" ht="12.75" customHeight="1" x14ac:dyDescent="0.3">
      <c r="A1557" s="2" t="s">
        <v>3146</v>
      </c>
      <c r="B1557" s="2" t="s">
        <v>6</v>
      </c>
      <c r="C1557" s="3" t="str">
        <f>HYPERLINK("https://springer.com/13225")</f>
        <v>https://springer.com/13225</v>
      </c>
      <c r="D1557" s="2" t="s">
        <v>3147</v>
      </c>
      <c r="E1557" s="2" t="s">
        <v>8</v>
      </c>
    </row>
    <row r="1558" spans="1:5" ht="12.75" customHeight="1" x14ac:dyDescent="0.3">
      <c r="A1558" s="2" t="s">
        <v>3148</v>
      </c>
      <c r="B1558" s="2" t="s">
        <v>218</v>
      </c>
      <c r="C1558" s="3" t="str">
        <f>HYPERLINK("https://springer.com/13233")</f>
        <v>https://springer.com/13233</v>
      </c>
      <c r="D1558" s="2" t="s">
        <v>3149</v>
      </c>
      <c r="E1558" s="2" t="s">
        <v>8</v>
      </c>
    </row>
    <row r="1559" spans="1:5" ht="12.75" customHeight="1" x14ac:dyDescent="0.3">
      <c r="A1559" s="2" t="s">
        <v>3150</v>
      </c>
      <c r="B1559" s="2" t="s">
        <v>10</v>
      </c>
      <c r="C1559" s="3" t="str">
        <f>HYPERLINK("https://springer.com/13235")</f>
        <v>https://springer.com/13235</v>
      </c>
      <c r="D1559" s="2" t="s">
        <v>3151</v>
      </c>
      <c r="E1559" s="2" t="s">
        <v>8</v>
      </c>
    </row>
    <row r="1560" spans="1:5" ht="12.75" customHeight="1" x14ac:dyDescent="0.3">
      <c r="A1560" s="2" t="s">
        <v>3152</v>
      </c>
      <c r="B1560" s="2" t="s">
        <v>6</v>
      </c>
      <c r="C1560" s="3" t="str">
        <f>HYPERLINK("https://springer.com/13237")</f>
        <v>https://springer.com/13237</v>
      </c>
      <c r="D1560" s="2" t="s">
        <v>3153</v>
      </c>
      <c r="E1560" s="2" t="s">
        <v>8</v>
      </c>
    </row>
    <row r="1561" spans="1:5" ht="12.75" customHeight="1" x14ac:dyDescent="0.3">
      <c r="A1561" s="2" t="s">
        <v>3154</v>
      </c>
      <c r="B1561" s="2" t="s">
        <v>20</v>
      </c>
      <c r="C1561" s="3" t="str">
        <f>HYPERLINK("https://springer.com/13239")</f>
        <v>https://springer.com/13239</v>
      </c>
      <c r="D1561" s="2" t="s">
        <v>3155</v>
      </c>
      <c r="E1561" s="2" t="s">
        <v>8</v>
      </c>
    </row>
    <row r="1562" spans="1:5" ht="12.75" customHeight="1" x14ac:dyDescent="0.3">
      <c r="A1562" s="2" t="s">
        <v>3156</v>
      </c>
      <c r="B1562" s="2" t="s">
        <v>56</v>
      </c>
      <c r="C1562" s="3" t="str">
        <f>HYPERLINK("https://springer.com/13243")</f>
        <v>https://springer.com/13243</v>
      </c>
      <c r="D1562" s="2" t="s">
        <v>3157</v>
      </c>
      <c r="E1562" s="2" t="s">
        <v>8</v>
      </c>
    </row>
    <row r="1563" spans="1:5" ht="12.75" customHeight="1" x14ac:dyDescent="0.3">
      <c r="A1563" s="2" t="s">
        <v>3158</v>
      </c>
      <c r="B1563" s="2" t="s">
        <v>20</v>
      </c>
      <c r="C1563" s="3" t="str">
        <f>HYPERLINK("https://springer.com/13246")</f>
        <v>https://springer.com/13246</v>
      </c>
      <c r="D1563" s="2" t="s">
        <v>3159</v>
      </c>
      <c r="E1563" s="2" t="s">
        <v>8</v>
      </c>
    </row>
    <row r="1564" spans="1:5" ht="12.75" customHeight="1" x14ac:dyDescent="0.3">
      <c r="A1564" s="2" t="s">
        <v>3160</v>
      </c>
      <c r="B1564" s="2" t="s">
        <v>170</v>
      </c>
      <c r="C1564" s="3" t="str">
        <f>HYPERLINK("https://springer.com/13253")</f>
        <v>https://springer.com/13253</v>
      </c>
      <c r="D1564" s="2" t="s">
        <v>3161</v>
      </c>
      <c r="E1564" s="2" t="s">
        <v>8</v>
      </c>
    </row>
    <row r="1565" spans="1:5" ht="12.75" customHeight="1" x14ac:dyDescent="0.3">
      <c r="A1565" s="2" t="s">
        <v>3162</v>
      </c>
      <c r="B1565" s="2" t="s">
        <v>6</v>
      </c>
      <c r="C1565" s="3" t="str">
        <f>HYPERLINK("https://springer.com/13258")</f>
        <v>https://springer.com/13258</v>
      </c>
      <c r="D1565" s="2" t="s">
        <v>3163</v>
      </c>
      <c r="E1565" s="2" t="s">
        <v>8</v>
      </c>
    </row>
    <row r="1566" spans="1:5" ht="12.75" customHeight="1" x14ac:dyDescent="0.3">
      <c r="A1566" s="2" t="s">
        <v>3164</v>
      </c>
      <c r="B1566" s="2" t="s">
        <v>56</v>
      </c>
      <c r="C1566" s="3" t="str">
        <f>HYPERLINK("https://springer.com/13272")</f>
        <v>https://springer.com/13272</v>
      </c>
      <c r="D1566" s="2" t="s">
        <v>3165</v>
      </c>
      <c r="E1566" s="2" t="s">
        <v>8</v>
      </c>
    </row>
    <row r="1567" spans="1:5" ht="12.75" customHeight="1" x14ac:dyDescent="0.3">
      <c r="A1567" s="2" t="s">
        <v>3166</v>
      </c>
      <c r="B1567" s="2" t="s">
        <v>6</v>
      </c>
      <c r="C1567" s="3" t="str">
        <f>HYPERLINK("https://springer.com/13273")</f>
        <v>https://springer.com/13273</v>
      </c>
      <c r="D1567" s="2" t="s">
        <v>3167</v>
      </c>
      <c r="E1567" s="2" t="s">
        <v>8</v>
      </c>
    </row>
    <row r="1568" spans="1:5" ht="12.75" customHeight="1" x14ac:dyDescent="0.3">
      <c r="A1568" s="2" t="s">
        <v>3168</v>
      </c>
      <c r="B1568" s="2" t="s">
        <v>133</v>
      </c>
      <c r="C1568" s="3" t="str">
        <f>HYPERLINK("https://springer.com/13280")</f>
        <v>https://springer.com/13280</v>
      </c>
      <c r="D1568" s="2" t="s">
        <v>3169</v>
      </c>
      <c r="E1568" s="2" t="s">
        <v>8</v>
      </c>
    </row>
    <row r="1569" spans="1:5" ht="12.75" customHeight="1" x14ac:dyDescent="0.3">
      <c r="A1569" s="2" t="s">
        <v>3170</v>
      </c>
      <c r="B1569" s="2" t="s">
        <v>10</v>
      </c>
      <c r="C1569" s="3" t="str">
        <f>HYPERLINK("https://springer.com/13291")</f>
        <v>https://springer.com/13291</v>
      </c>
      <c r="D1569" s="2" t="s">
        <v>3171</v>
      </c>
      <c r="E1569" s="2" t="s">
        <v>8</v>
      </c>
    </row>
    <row r="1570" spans="1:5" ht="12.75" customHeight="1" x14ac:dyDescent="0.3">
      <c r="A1570" s="2" t="s">
        <v>3172</v>
      </c>
      <c r="B1570" s="2" t="s">
        <v>56</v>
      </c>
      <c r="C1570" s="3" t="str">
        <f>HYPERLINK("https://springer.com/13296")</f>
        <v>https://springer.com/13296</v>
      </c>
      <c r="D1570" s="2" t="s">
        <v>3173</v>
      </c>
      <c r="E1570" s="2" t="s">
        <v>8</v>
      </c>
    </row>
    <row r="1571" spans="1:5" ht="12.75" customHeight="1" x14ac:dyDescent="0.3">
      <c r="A1571" s="2" t="s">
        <v>3174</v>
      </c>
      <c r="B1571" s="2" t="s">
        <v>78</v>
      </c>
      <c r="C1571" s="3" t="str">
        <f>HYPERLINK("https://springer.com/13304")</f>
        <v>https://springer.com/13304</v>
      </c>
      <c r="D1571" s="2" t="s">
        <v>3175</v>
      </c>
      <c r="E1571" s="2" t="s">
        <v>8</v>
      </c>
    </row>
    <row r="1572" spans="1:5" ht="12.75" customHeight="1" x14ac:dyDescent="0.3">
      <c r="A1572" s="2" t="s">
        <v>3176</v>
      </c>
      <c r="B1572" s="2" t="s">
        <v>78</v>
      </c>
      <c r="C1572" s="3" t="str">
        <f>HYPERLINK("https://springer.com/13312")</f>
        <v>https://springer.com/13312</v>
      </c>
      <c r="D1572" s="2" t="s">
        <v>3177</v>
      </c>
      <c r="E1572" s="2" t="s">
        <v>8</v>
      </c>
    </row>
    <row r="1573" spans="1:5" ht="12.75" customHeight="1" x14ac:dyDescent="0.3">
      <c r="A1573" s="2" t="s">
        <v>3178</v>
      </c>
      <c r="B1573" s="2" t="s">
        <v>6</v>
      </c>
      <c r="C1573" s="3" t="str">
        <f>HYPERLINK("https://springer.com/13313")</f>
        <v>https://springer.com/13313</v>
      </c>
      <c r="D1573" s="2" t="s">
        <v>3179</v>
      </c>
      <c r="E1573" s="2" t="s">
        <v>8</v>
      </c>
    </row>
    <row r="1574" spans="1:5" ht="12.75" customHeight="1" x14ac:dyDescent="0.3">
      <c r="A1574" s="2" t="s">
        <v>3180</v>
      </c>
      <c r="B1574" s="2" t="s">
        <v>20</v>
      </c>
      <c r="C1574" s="3" t="str">
        <f>HYPERLINK("https://springer.com/13318")</f>
        <v>https://springer.com/13318</v>
      </c>
      <c r="D1574" s="2" t="s">
        <v>3181</v>
      </c>
      <c r="E1574" s="2" t="s">
        <v>141</v>
      </c>
    </row>
    <row r="1575" spans="1:5" ht="12.75" customHeight="1" x14ac:dyDescent="0.3">
      <c r="A1575" s="2" t="s">
        <v>3182</v>
      </c>
      <c r="B1575" s="2" t="s">
        <v>10</v>
      </c>
      <c r="C1575" s="3" t="str">
        <f>HYPERLINK("https://springer.com/13324")</f>
        <v>https://springer.com/13324</v>
      </c>
      <c r="D1575" s="2" t="s">
        <v>3183</v>
      </c>
      <c r="E1575" s="2" t="s">
        <v>8</v>
      </c>
    </row>
    <row r="1576" spans="1:5" ht="12.75" customHeight="1" x14ac:dyDescent="0.3">
      <c r="A1576" s="2" t="s">
        <v>3184</v>
      </c>
      <c r="B1576" s="2" t="s">
        <v>78</v>
      </c>
      <c r="C1576" s="3" t="str">
        <f>HYPERLINK("https://springer.com/13329")</f>
        <v>https://springer.com/13329</v>
      </c>
      <c r="D1576" s="2" t="s">
        <v>3185</v>
      </c>
      <c r="E1576" s="2"/>
    </row>
    <row r="1577" spans="1:5" ht="12.75" customHeight="1" x14ac:dyDescent="0.3">
      <c r="A1577" s="2" t="s">
        <v>3186</v>
      </c>
      <c r="B1577" s="2" t="s">
        <v>6</v>
      </c>
      <c r="C1577" s="3" t="str">
        <f>HYPERLINK("https://springer.com/13330")</f>
        <v>https://springer.com/13330</v>
      </c>
      <c r="D1577" s="2" t="s">
        <v>3187</v>
      </c>
      <c r="E1577" s="2"/>
    </row>
    <row r="1578" spans="1:5" ht="12.75" customHeight="1" x14ac:dyDescent="0.3">
      <c r="A1578" s="2" t="s">
        <v>3188</v>
      </c>
      <c r="B1578" s="2" t="s">
        <v>6</v>
      </c>
      <c r="C1578" s="3" t="str">
        <f>HYPERLINK("https://springer.com/13335")</f>
        <v>https://springer.com/13335</v>
      </c>
      <c r="D1578" s="2" t="s">
        <v>3189</v>
      </c>
      <c r="E1578" s="2"/>
    </row>
    <row r="1579" spans="1:5" ht="12.75" customHeight="1" x14ac:dyDescent="0.3">
      <c r="A1579" s="2" t="s">
        <v>3190</v>
      </c>
      <c r="B1579" s="2" t="s">
        <v>6</v>
      </c>
      <c r="C1579" s="3" t="str">
        <f>HYPERLINK("https://springer.com/13337")</f>
        <v>https://springer.com/13337</v>
      </c>
      <c r="D1579" s="2" t="s">
        <v>3191</v>
      </c>
      <c r="E1579" s="2" t="s">
        <v>8</v>
      </c>
    </row>
    <row r="1580" spans="1:5" ht="12.75" customHeight="1" x14ac:dyDescent="0.3">
      <c r="A1580" s="2" t="s">
        <v>3192</v>
      </c>
      <c r="B1580" s="2" t="s">
        <v>78</v>
      </c>
      <c r="C1580" s="3" t="str">
        <f>HYPERLINK("https://springer.com/13340")</f>
        <v>https://springer.com/13340</v>
      </c>
      <c r="D1580" s="2" t="s">
        <v>3193</v>
      </c>
      <c r="E1580" s="2" t="s">
        <v>8</v>
      </c>
    </row>
    <row r="1581" spans="1:5" ht="12.75" customHeight="1" x14ac:dyDescent="0.3">
      <c r="A1581" s="2" t="s">
        <v>3194</v>
      </c>
      <c r="B1581" s="2" t="s">
        <v>56</v>
      </c>
      <c r="C1581" s="3" t="str">
        <f>HYPERLINK("https://springer.com/13344")</f>
        <v>https://springer.com/13344</v>
      </c>
      <c r="D1581" s="2" t="s">
        <v>3195</v>
      </c>
      <c r="E1581" s="2" t="s">
        <v>8</v>
      </c>
    </row>
    <row r="1582" spans="1:5" ht="12.75" customHeight="1" x14ac:dyDescent="0.3">
      <c r="A1582" s="2" t="s">
        <v>3196</v>
      </c>
      <c r="B1582" s="2" t="s">
        <v>20</v>
      </c>
      <c r="C1582" s="3" t="str">
        <f>HYPERLINK("https://springer.com/13346")</f>
        <v>https://springer.com/13346</v>
      </c>
      <c r="D1582" s="2" t="s">
        <v>3197</v>
      </c>
      <c r="E1582" s="2" t="s">
        <v>8</v>
      </c>
    </row>
    <row r="1583" spans="1:5" ht="12.75" customHeight="1" x14ac:dyDescent="0.3">
      <c r="A1583" s="2" t="s">
        <v>3198</v>
      </c>
      <c r="B1583" s="2" t="s">
        <v>868</v>
      </c>
      <c r="C1583" s="3" t="str">
        <f>HYPERLINK("https://springer.com/13347")</f>
        <v>https://springer.com/13347</v>
      </c>
      <c r="D1583" s="2" t="s">
        <v>3199</v>
      </c>
      <c r="E1583" s="2" t="s">
        <v>8</v>
      </c>
    </row>
    <row r="1584" spans="1:5" ht="12.75" customHeight="1" x14ac:dyDescent="0.3">
      <c r="A1584" s="2" t="s">
        <v>3200</v>
      </c>
      <c r="B1584" s="2" t="s">
        <v>10</v>
      </c>
      <c r="C1584" s="3" t="str">
        <f>HYPERLINK("https://springer.com/13348")</f>
        <v>https://springer.com/13348</v>
      </c>
      <c r="D1584" s="2" t="s">
        <v>3201</v>
      </c>
      <c r="E1584" s="2" t="s">
        <v>8</v>
      </c>
    </row>
    <row r="1585" spans="1:5" ht="12.75" customHeight="1" x14ac:dyDescent="0.3">
      <c r="A1585" s="2" t="s">
        <v>3202</v>
      </c>
      <c r="B1585" s="2" t="s">
        <v>56</v>
      </c>
      <c r="C1585" s="3" t="str">
        <f>HYPERLINK("https://springer.com/13349")</f>
        <v>https://springer.com/13349</v>
      </c>
      <c r="D1585" s="2" t="s">
        <v>3203</v>
      </c>
      <c r="E1585" s="2" t="s">
        <v>8</v>
      </c>
    </row>
    <row r="1586" spans="1:5" ht="12.75" customHeight="1" x14ac:dyDescent="0.3">
      <c r="A1586" s="2" t="s">
        <v>3204</v>
      </c>
      <c r="B1586" s="2" t="s">
        <v>26</v>
      </c>
      <c r="C1586" s="3" t="str">
        <f>HYPERLINK("https://springer.com/13351")</f>
        <v>https://springer.com/13351</v>
      </c>
      <c r="D1586" s="2" t="s">
        <v>3205</v>
      </c>
      <c r="E1586" s="2" t="s">
        <v>8</v>
      </c>
    </row>
    <row r="1587" spans="1:5" ht="12.75" customHeight="1" x14ac:dyDescent="0.3">
      <c r="A1587" s="2" t="s">
        <v>3206</v>
      </c>
      <c r="B1587" s="2" t="s">
        <v>6</v>
      </c>
      <c r="C1587" s="3" t="str">
        <f>HYPERLINK("https://springer.com/13353")</f>
        <v>https://springer.com/13353</v>
      </c>
      <c r="D1587" s="2" t="s">
        <v>3207</v>
      </c>
      <c r="E1587" s="2" t="s">
        <v>8</v>
      </c>
    </row>
    <row r="1588" spans="1:5" ht="12.75" customHeight="1" x14ac:dyDescent="0.3">
      <c r="A1588" s="2" t="s">
        <v>3208</v>
      </c>
      <c r="B1588" s="2" t="s">
        <v>6</v>
      </c>
      <c r="C1588" s="3" t="str">
        <f>HYPERLINK("https://springer.com/13355")</f>
        <v>https://springer.com/13355</v>
      </c>
      <c r="D1588" s="2" t="s">
        <v>3209</v>
      </c>
      <c r="E1588" s="2" t="s">
        <v>8</v>
      </c>
    </row>
    <row r="1589" spans="1:5" ht="12.75" customHeight="1" x14ac:dyDescent="0.3">
      <c r="A1589" s="2" t="s">
        <v>3210</v>
      </c>
      <c r="B1589" s="2" t="s">
        <v>13</v>
      </c>
      <c r="C1589" s="3" t="str">
        <f>HYPERLINK("https://springer.com/13360")</f>
        <v>https://springer.com/13360</v>
      </c>
      <c r="D1589" s="2" t="s">
        <v>3211</v>
      </c>
      <c r="E1589" s="2" t="s">
        <v>8</v>
      </c>
    </row>
    <row r="1590" spans="1:5" ht="12.75" customHeight="1" x14ac:dyDescent="0.3">
      <c r="A1590" s="2" t="s">
        <v>3212</v>
      </c>
      <c r="B1590" s="2" t="s">
        <v>6</v>
      </c>
      <c r="C1590" s="3" t="str">
        <f>HYPERLINK("https://springer.com/13364")</f>
        <v>https://springer.com/13364</v>
      </c>
      <c r="D1590" s="2" t="s">
        <v>3213</v>
      </c>
      <c r="E1590" s="2" t="s">
        <v>8</v>
      </c>
    </row>
    <row r="1591" spans="1:5" ht="12.75" customHeight="1" x14ac:dyDescent="0.3">
      <c r="A1591" s="2" t="s">
        <v>3214</v>
      </c>
      <c r="B1591" s="2" t="s">
        <v>20</v>
      </c>
      <c r="C1591" s="3" t="str">
        <f>HYPERLINK("https://springer.com/13365")</f>
        <v>https://springer.com/13365</v>
      </c>
      <c r="D1591" s="2" t="s">
        <v>3215</v>
      </c>
      <c r="E1591" s="2" t="s">
        <v>8</v>
      </c>
    </row>
    <row r="1592" spans="1:5" ht="12.75" customHeight="1" x14ac:dyDescent="0.3">
      <c r="A1592" s="2" t="s">
        <v>3216</v>
      </c>
      <c r="B1592" s="2" t="s">
        <v>10</v>
      </c>
      <c r="C1592" s="3" t="str">
        <f>HYPERLINK("https://springer.com/13366")</f>
        <v>https://springer.com/13366</v>
      </c>
      <c r="D1592" s="2" t="s">
        <v>3217</v>
      </c>
      <c r="E1592" s="2" t="s">
        <v>8</v>
      </c>
    </row>
    <row r="1593" spans="1:5" ht="12.75" customHeight="1" x14ac:dyDescent="0.3">
      <c r="A1593" s="2" t="s">
        <v>3218</v>
      </c>
      <c r="B1593" s="2" t="s">
        <v>396</v>
      </c>
      <c r="C1593" s="3" t="str">
        <f>HYPERLINK("https://springer.com/13367")</f>
        <v>https://springer.com/13367</v>
      </c>
      <c r="D1593" s="2" t="s">
        <v>3219</v>
      </c>
      <c r="E1593" s="2" t="s">
        <v>8</v>
      </c>
    </row>
    <row r="1594" spans="1:5" ht="12.75" customHeight="1" x14ac:dyDescent="0.3">
      <c r="A1594" s="2" t="s">
        <v>3220</v>
      </c>
      <c r="B1594" s="2" t="s">
        <v>56</v>
      </c>
      <c r="C1594" s="3" t="str">
        <f>HYPERLINK("https://springer.com/13369")</f>
        <v>https://springer.com/13369</v>
      </c>
      <c r="D1594" s="2" t="s">
        <v>3221</v>
      </c>
      <c r="E1594" s="2" t="s">
        <v>8</v>
      </c>
    </row>
    <row r="1595" spans="1:5" ht="12.75" customHeight="1" x14ac:dyDescent="0.3">
      <c r="A1595" s="2" t="s">
        <v>3222</v>
      </c>
      <c r="B1595" s="2" t="s">
        <v>10</v>
      </c>
      <c r="C1595" s="3" t="str">
        <f>HYPERLINK("https://springer.com/13370")</f>
        <v>https://springer.com/13370</v>
      </c>
      <c r="D1595" s="2" t="s">
        <v>3223</v>
      </c>
      <c r="E1595" s="2" t="s">
        <v>8</v>
      </c>
    </row>
    <row r="1596" spans="1:5" ht="12.75" customHeight="1" x14ac:dyDescent="0.3">
      <c r="A1596" s="2" t="s">
        <v>3224</v>
      </c>
      <c r="B1596" s="2" t="s">
        <v>753</v>
      </c>
      <c r="C1596" s="3" t="str">
        <f>HYPERLINK("https://springer.com/13384")</f>
        <v>https://springer.com/13384</v>
      </c>
      <c r="D1596" s="2" t="s">
        <v>3225</v>
      </c>
      <c r="E1596" s="2" t="s">
        <v>8</v>
      </c>
    </row>
    <row r="1597" spans="1:5" ht="12.75" customHeight="1" x14ac:dyDescent="0.3">
      <c r="A1597" s="2" t="s">
        <v>3226</v>
      </c>
      <c r="B1597" s="2" t="s">
        <v>10</v>
      </c>
      <c r="C1597" s="3" t="str">
        <f>HYPERLINK("https://springer.com/13385")</f>
        <v>https://springer.com/13385</v>
      </c>
      <c r="D1597" s="2" t="s">
        <v>3227</v>
      </c>
      <c r="E1597" s="2" t="s">
        <v>8</v>
      </c>
    </row>
    <row r="1598" spans="1:5" ht="12.75" customHeight="1" x14ac:dyDescent="0.3">
      <c r="A1598" s="2" t="s">
        <v>3228</v>
      </c>
      <c r="B1598" s="2" t="s">
        <v>63</v>
      </c>
      <c r="C1598" s="3" t="str">
        <f>HYPERLINK("https://springer.com/13389")</f>
        <v>https://springer.com/13389</v>
      </c>
      <c r="D1598" s="2" t="s">
        <v>3229</v>
      </c>
      <c r="E1598" s="2" t="s">
        <v>8</v>
      </c>
    </row>
    <row r="1599" spans="1:5" ht="12.75" customHeight="1" x14ac:dyDescent="0.3">
      <c r="A1599" s="2" t="s">
        <v>3230</v>
      </c>
      <c r="B1599" s="2" t="s">
        <v>396</v>
      </c>
      <c r="C1599" s="3" t="str">
        <f>HYPERLINK("https://springer.com/13391")</f>
        <v>https://springer.com/13391</v>
      </c>
      <c r="D1599" s="2" t="s">
        <v>3231</v>
      </c>
      <c r="E1599" s="2" t="s">
        <v>8</v>
      </c>
    </row>
    <row r="1600" spans="1:5" ht="12.75" customHeight="1" x14ac:dyDescent="0.3">
      <c r="A1600" s="2" t="s">
        <v>3232</v>
      </c>
      <c r="B1600" s="2" t="s">
        <v>218</v>
      </c>
      <c r="C1600" s="3" t="str">
        <f>HYPERLINK("https://springer.com/13392")</f>
        <v>https://springer.com/13392</v>
      </c>
      <c r="D1600" s="2" t="s">
        <v>3233</v>
      </c>
      <c r="E1600" s="2"/>
    </row>
    <row r="1601" spans="1:5" ht="12.75" customHeight="1" x14ac:dyDescent="0.3">
      <c r="A1601" s="2" t="s">
        <v>3234</v>
      </c>
      <c r="B1601" s="2" t="s">
        <v>151</v>
      </c>
      <c r="C1601" s="3" t="str">
        <f>HYPERLINK("https://springer.com/13393")</f>
        <v>https://springer.com/13393</v>
      </c>
      <c r="D1601" s="2" t="s">
        <v>3235</v>
      </c>
      <c r="E1601" s="2"/>
    </row>
    <row r="1602" spans="1:5" ht="12.75" customHeight="1" x14ac:dyDescent="0.3">
      <c r="A1602" s="2" t="s">
        <v>3236</v>
      </c>
      <c r="B1602" s="2" t="s">
        <v>753</v>
      </c>
      <c r="C1602" s="3" t="str">
        <f>HYPERLINK("https://springer.com/13394")</f>
        <v>https://springer.com/13394</v>
      </c>
      <c r="D1602" s="2" t="s">
        <v>3237</v>
      </c>
      <c r="E1602" s="2" t="s">
        <v>8</v>
      </c>
    </row>
    <row r="1603" spans="1:5" ht="12.75" customHeight="1" x14ac:dyDescent="0.3">
      <c r="A1603" s="2" t="s">
        <v>3238</v>
      </c>
      <c r="B1603" s="2" t="s">
        <v>10</v>
      </c>
      <c r="C1603" s="3" t="str">
        <f>HYPERLINK("https://springer.com/13398")</f>
        <v>https://springer.com/13398</v>
      </c>
      <c r="D1603" s="2" t="s">
        <v>3239</v>
      </c>
      <c r="E1603" s="2" t="s">
        <v>8</v>
      </c>
    </row>
    <row r="1604" spans="1:5" ht="12.75" customHeight="1" x14ac:dyDescent="0.3">
      <c r="A1604" s="2" t="s">
        <v>3240</v>
      </c>
      <c r="B1604" s="2" t="s">
        <v>1272</v>
      </c>
      <c r="C1604" s="3" t="str">
        <f>HYPERLINK("https://springer.com/13399")</f>
        <v>https://springer.com/13399</v>
      </c>
      <c r="D1604" s="2" t="s">
        <v>3241</v>
      </c>
      <c r="E1604" s="2" t="s">
        <v>8</v>
      </c>
    </row>
    <row r="1605" spans="1:5" ht="12.75" customHeight="1" x14ac:dyDescent="0.3">
      <c r="A1605" s="2" t="s">
        <v>3242</v>
      </c>
      <c r="B1605" s="2" t="s">
        <v>396</v>
      </c>
      <c r="C1605" s="3" t="str">
        <f>HYPERLINK("https://springer.com/13404")</f>
        <v>https://springer.com/13404</v>
      </c>
      <c r="D1605" s="2" t="s">
        <v>3243</v>
      </c>
      <c r="E1605" s="2" t="s">
        <v>8</v>
      </c>
    </row>
    <row r="1606" spans="1:5" ht="12.75" customHeight="1" x14ac:dyDescent="0.3">
      <c r="A1606" s="2" t="s">
        <v>3244</v>
      </c>
      <c r="B1606" s="2" t="s">
        <v>78</v>
      </c>
      <c r="C1606" s="3" t="str">
        <f>HYPERLINK("https://springer.com/13410")</f>
        <v>https://springer.com/13410</v>
      </c>
      <c r="D1606" s="2" t="s">
        <v>3245</v>
      </c>
      <c r="E1606" s="2" t="s">
        <v>8</v>
      </c>
    </row>
    <row r="1607" spans="1:5" ht="12.75" customHeight="1" x14ac:dyDescent="0.3">
      <c r="A1607" s="2" t="s">
        <v>3246</v>
      </c>
      <c r="B1607" s="2" t="s">
        <v>133</v>
      </c>
      <c r="C1607" s="3" t="str">
        <f>HYPERLINK("https://springer.com/13412")</f>
        <v>https://springer.com/13412</v>
      </c>
      <c r="D1607" s="2" t="s">
        <v>3247</v>
      </c>
      <c r="E1607" s="2" t="s">
        <v>8</v>
      </c>
    </row>
    <row r="1608" spans="1:5" ht="12.75" customHeight="1" x14ac:dyDescent="0.3">
      <c r="A1608" s="2" t="s">
        <v>3248</v>
      </c>
      <c r="B1608" s="2" t="s">
        <v>443</v>
      </c>
      <c r="C1608" s="3" t="str">
        <f>HYPERLINK("https://springer.com/13414")</f>
        <v>https://springer.com/13414</v>
      </c>
      <c r="D1608" s="2" t="s">
        <v>3249</v>
      </c>
      <c r="E1608" s="2" t="s">
        <v>8</v>
      </c>
    </row>
    <row r="1609" spans="1:5" ht="12.75" customHeight="1" x14ac:dyDescent="0.3">
      <c r="A1609" s="2" t="s">
        <v>3250</v>
      </c>
      <c r="B1609" s="2" t="s">
        <v>443</v>
      </c>
      <c r="C1609" s="3" t="str">
        <f>HYPERLINK("https://springer.com/13415")</f>
        <v>https://springer.com/13415</v>
      </c>
      <c r="D1609" s="2" t="s">
        <v>3251</v>
      </c>
      <c r="E1609" s="2" t="s">
        <v>8</v>
      </c>
    </row>
    <row r="1610" spans="1:5" ht="12.75" customHeight="1" x14ac:dyDescent="0.3">
      <c r="A1610" s="2" t="s">
        <v>3252</v>
      </c>
      <c r="B1610" s="2" t="s">
        <v>443</v>
      </c>
      <c r="C1610" s="3" t="str">
        <f>HYPERLINK("https://springer.com/13420")</f>
        <v>https://springer.com/13420</v>
      </c>
      <c r="D1610" s="2" t="s">
        <v>3253</v>
      </c>
      <c r="E1610" s="2" t="s">
        <v>8</v>
      </c>
    </row>
    <row r="1611" spans="1:5" ht="12.75" customHeight="1" x14ac:dyDescent="0.3">
      <c r="A1611" s="2" t="s">
        <v>3254</v>
      </c>
      <c r="B1611" s="2" t="s">
        <v>443</v>
      </c>
      <c r="C1611" s="3" t="str">
        <f>HYPERLINK("https://springer.com/13421")</f>
        <v>https://springer.com/13421</v>
      </c>
      <c r="D1611" s="2" t="s">
        <v>3255</v>
      </c>
      <c r="E1611" s="2" t="s">
        <v>8</v>
      </c>
    </row>
    <row r="1612" spans="1:5" ht="12.75" customHeight="1" x14ac:dyDescent="0.3">
      <c r="A1612" s="2" t="s">
        <v>3256</v>
      </c>
      <c r="B1612" s="2" t="s">
        <v>443</v>
      </c>
      <c r="C1612" s="3" t="str">
        <f>HYPERLINK("https://springer.com/13423")</f>
        <v>https://springer.com/13423</v>
      </c>
      <c r="D1612" s="2" t="s">
        <v>3257</v>
      </c>
      <c r="E1612" s="2" t="s">
        <v>8</v>
      </c>
    </row>
    <row r="1613" spans="1:5" ht="12.75" customHeight="1" x14ac:dyDescent="0.3">
      <c r="A1613" s="2" t="s">
        <v>3258</v>
      </c>
      <c r="B1613" s="2" t="s">
        <v>443</v>
      </c>
      <c r="C1613" s="3" t="str">
        <f>HYPERLINK("https://springer.com/13428")</f>
        <v>https://springer.com/13428</v>
      </c>
      <c r="D1613" s="2" t="s">
        <v>3259</v>
      </c>
      <c r="E1613" s="2" t="s">
        <v>8</v>
      </c>
    </row>
    <row r="1614" spans="1:5" ht="12.75" customHeight="1" x14ac:dyDescent="0.3">
      <c r="A1614" s="2" t="s">
        <v>3260</v>
      </c>
      <c r="B1614" s="2" t="s">
        <v>347</v>
      </c>
      <c r="C1614" s="3" t="str">
        <f>HYPERLINK("https://springer.com/13437")</f>
        <v>https://springer.com/13437</v>
      </c>
      <c r="D1614" s="2" t="s">
        <v>3261</v>
      </c>
      <c r="E1614" s="2" t="s">
        <v>8</v>
      </c>
    </row>
    <row r="1615" spans="1:5" ht="12.75" customHeight="1" x14ac:dyDescent="0.3">
      <c r="A1615" s="2" t="s">
        <v>3262</v>
      </c>
      <c r="B1615" s="2" t="s">
        <v>868</v>
      </c>
      <c r="C1615" s="3" t="str">
        <f>HYPERLINK("https://springer.com/13520")</f>
        <v>https://springer.com/13520</v>
      </c>
      <c r="D1615" s="2" t="s">
        <v>3263</v>
      </c>
      <c r="E1615" s="2" t="s">
        <v>8</v>
      </c>
    </row>
    <row r="1616" spans="1:5" ht="12.75" customHeight="1" x14ac:dyDescent="0.3">
      <c r="A1616" s="2" t="s">
        <v>3264</v>
      </c>
      <c r="B1616" s="2" t="s">
        <v>20</v>
      </c>
      <c r="C1616" s="3" t="str">
        <f>HYPERLINK("https://springer.com/13530")</f>
        <v>https://springer.com/13530</v>
      </c>
      <c r="D1616" s="2" t="s">
        <v>3265</v>
      </c>
      <c r="E1616" s="2" t="s">
        <v>8</v>
      </c>
    </row>
    <row r="1617" spans="1:5" ht="12.75" customHeight="1" x14ac:dyDescent="0.3">
      <c r="A1617" s="2" t="s">
        <v>3266</v>
      </c>
      <c r="B1617" s="2" t="s">
        <v>56</v>
      </c>
      <c r="C1617" s="3" t="str">
        <f>HYPERLINK("https://springer.com/13534")</f>
        <v>https://springer.com/13534</v>
      </c>
      <c r="D1617" s="2" t="s">
        <v>3267</v>
      </c>
      <c r="E1617" s="2" t="s">
        <v>8</v>
      </c>
    </row>
    <row r="1618" spans="1:5" ht="12.75" customHeight="1" x14ac:dyDescent="0.3">
      <c r="A1618" s="2" t="s">
        <v>3268</v>
      </c>
      <c r="B1618" s="2" t="s">
        <v>13</v>
      </c>
      <c r="C1618" s="3" t="str">
        <f>HYPERLINK("https://springer.com/13538")</f>
        <v>https://springer.com/13538</v>
      </c>
      <c r="D1618" s="2" t="s">
        <v>3269</v>
      </c>
      <c r="E1618" s="2" t="s">
        <v>8</v>
      </c>
    </row>
    <row r="1619" spans="1:5" ht="12.75" customHeight="1" x14ac:dyDescent="0.3">
      <c r="A1619" s="2" t="s">
        <v>3270</v>
      </c>
      <c r="B1619" s="2" t="s">
        <v>10</v>
      </c>
      <c r="C1619" s="3" t="str">
        <f>HYPERLINK("https://springer.com/13540")</f>
        <v>https://springer.com/13540</v>
      </c>
      <c r="D1619" s="2" t="s">
        <v>3271</v>
      </c>
      <c r="E1619" s="2" t="s">
        <v>8</v>
      </c>
    </row>
    <row r="1620" spans="1:5" ht="12.75" customHeight="1" x14ac:dyDescent="0.3">
      <c r="A1620" s="2" t="s">
        <v>3272</v>
      </c>
      <c r="B1620" s="2" t="s">
        <v>528</v>
      </c>
      <c r="C1620" s="3" t="str">
        <f>HYPERLINK("https://springer.com/13541")</f>
        <v>https://springer.com/13541</v>
      </c>
      <c r="D1620" s="2" t="s">
        <v>3273</v>
      </c>
      <c r="E1620" s="2"/>
    </row>
    <row r="1621" spans="1:5" ht="12.75" customHeight="1" x14ac:dyDescent="0.3">
      <c r="A1621" s="2" t="s">
        <v>3274</v>
      </c>
      <c r="B1621" s="2" t="s">
        <v>6</v>
      </c>
      <c r="C1621" s="3" t="str">
        <f>HYPERLINK("https://springer.com/13562")</f>
        <v>https://springer.com/13562</v>
      </c>
      <c r="D1621" s="2" t="s">
        <v>3275</v>
      </c>
      <c r="E1621" s="2" t="s">
        <v>8</v>
      </c>
    </row>
    <row r="1622" spans="1:5" ht="12.75" customHeight="1" x14ac:dyDescent="0.3">
      <c r="A1622" s="2" t="s">
        <v>3276</v>
      </c>
      <c r="B1622" s="2" t="s">
        <v>151</v>
      </c>
      <c r="C1622" s="3" t="str">
        <f>HYPERLINK("https://springer.com/13563")</f>
        <v>https://springer.com/13563</v>
      </c>
      <c r="D1622" s="2" t="s">
        <v>3277</v>
      </c>
      <c r="E1622" s="2" t="s">
        <v>8</v>
      </c>
    </row>
    <row r="1623" spans="1:5" ht="12.75" customHeight="1" x14ac:dyDescent="0.3">
      <c r="A1623" s="2" t="s">
        <v>3278</v>
      </c>
      <c r="B1623" s="2" t="s">
        <v>170</v>
      </c>
      <c r="C1623" s="3" t="str">
        <f>HYPERLINK("https://springer.com/13571")</f>
        <v>https://springer.com/13571</v>
      </c>
      <c r="D1623" s="2" t="s">
        <v>3279</v>
      </c>
      <c r="E1623" s="2" t="s">
        <v>8</v>
      </c>
    </row>
    <row r="1624" spans="1:5" ht="12.75" customHeight="1" x14ac:dyDescent="0.3">
      <c r="A1624" s="2" t="s">
        <v>3280</v>
      </c>
      <c r="B1624" s="2" t="s">
        <v>6</v>
      </c>
      <c r="C1624" s="3" t="str">
        <f>HYPERLINK("https://springer.com/13577")</f>
        <v>https://springer.com/13577</v>
      </c>
      <c r="D1624" s="2" t="s">
        <v>3281</v>
      </c>
      <c r="E1624" s="2" t="s">
        <v>8</v>
      </c>
    </row>
    <row r="1625" spans="1:5" ht="12.75" customHeight="1" x14ac:dyDescent="0.3">
      <c r="A1625" s="2" t="s">
        <v>3282</v>
      </c>
      <c r="B1625" s="2" t="s">
        <v>6</v>
      </c>
      <c r="C1625" s="3" t="str">
        <f>HYPERLINK("https://springer.com/13580")</f>
        <v>https://springer.com/13580</v>
      </c>
      <c r="D1625" s="2" t="s">
        <v>3283</v>
      </c>
      <c r="E1625" s="2" t="s">
        <v>8</v>
      </c>
    </row>
    <row r="1626" spans="1:5" ht="12.75" customHeight="1" x14ac:dyDescent="0.3">
      <c r="A1626" s="2" t="s">
        <v>3284</v>
      </c>
      <c r="B1626" s="2" t="s">
        <v>6</v>
      </c>
      <c r="C1626" s="3" t="str">
        <f>HYPERLINK("https://springer.com/13592")</f>
        <v>https://springer.com/13592</v>
      </c>
      <c r="D1626" s="2" t="s">
        <v>3285</v>
      </c>
      <c r="E1626" s="2" t="s">
        <v>8</v>
      </c>
    </row>
    <row r="1627" spans="1:5" ht="12.75" customHeight="1" x14ac:dyDescent="0.3">
      <c r="A1627" s="2" t="s">
        <v>3286</v>
      </c>
      <c r="B1627" s="2" t="s">
        <v>6</v>
      </c>
      <c r="C1627" s="3" t="str">
        <f>HYPERLINK("https://springer.com/13593")</f>
        <v>https://springer.com/13593</v>
      </c>
      <c r="D1627" s="2" t="s">
        <v>3287</v>
      </c>
      <c r="E1627" s="2" t="s">
        <v>8</v>
      </c>
    </row>
    <row r="1628" spans="1:5" ht="12.75" customHeight="1" x14ac:dyDescent="0.3">
      <c r="A1628" s="2" t="s">
        <v>3288</v>
      </c>
      <c r="B1628" s="2" t="s">
        <v>20</v>
      </c>
      <c r="C1628" s="3" t="str">
        <f>HYPERLINK("https://springer.com/13596")</f>
        <v>https://springer.com/13596</v>
      </c>
      <c r="D1628" s="2" t="s">
        <v>3289</v>
      </c>
      <c r="E1628" s="2" t="s">
        <v>8</v>
      </c>
    </row>
    <row r="1629" spans="1:5" ht="12.75" customHeight="1" x14ac:dyDescent="0.3">
      <c r="A1629" s="2" t="s">
        <v>3290</v>
      </c>
      <c r="B1629" s="2" t="s">
        <v>396</v>
      </c>
      <c r="C1629" s="3" t="str">
        <f>HYPERLINK("https://springer.com/13632")</f>
        <v>https://springer.com/13632</v>
      </c>
      <c r="D1629" s="2" t="s">
        <v>3291</v>
      </c>
      <c r="E1629" s="2" t="s">
        <v>8</v>
      </c>
    </row>
    <row r="1630" spans="1:5" ht="12.75" customHeight="1" x14ac:dyDescent="0.3">
      <c r="A1630" s="2" t="s">
        <v>3292</v>
      </c>
      <c r="B1630" s="2" t="s">
        <v>78</v>
      </c>
      <c r="C1630" s="3" t="str">
        <f>HYPERLINK("https://springer.com/13665")</f>
        <v>https://springer.com/13665</v>
      </c>
      <c r="D1630" s="2" t="s">
        <v>3293</v>
      </c>
      <c r="E1630" s="2" t="s">
        <v>8</v>
      </c>
    </row>
    <row r="1631" spans="1:5" ht="12.75" customHeight="1" x14ac:dyDescent="0.3">
      <c r="A1631" s="2" t="s">
        <v>3294</v>
      </c>
      <c r="B1631" s="2" t="s">
        <v>78</v>
      </c>
      <c r="C1631" s="3" t="str">
        <f>HYPERLINK("https://springer.com/13668")</f>
        <v>https://springer.com/13668</v>
      </c>
      <c r="D1631" s="2" t="s">
        <v>3295</v>
      </c>
      <c r="E1631" s="2" t="s">
        <v>8</v>
      </c>
    </row>
    <row r="1632" spans="1:5" ht="12.75" customHeight="1" x14ac:dyDescent="0.3">
      <c r="A1632" s="2" t="s">
        <v>3296</v>
      </c>
      <c r="B1632" s="2" t="s">
        <v>78</v>
      </c>
      <c r="C1632" s="3" t="str">
        <f>HYPERLINK("https://springer.com/13669")</f>
        <v>https://springer.com/13669</v>
      </c>
      <c r="D1632" s="2" t="s">
        <v>3297</v>
      </c>
      <c r="E1632" s="2" t="s">
        <v>8</v>
      </c>
    </row>
    <row r="1633" spans="1:5" ht="12.75" customHeight="1" x14ac:dyDescent="0.3">
      <c r="A1633" s="2" t="s">
        <v>3298</v>
      </c>
      <c r="B1633" s="2" t="s">
        <v>78</v>
      </c>
      <c r="C1633" s="3" t="str">
        <f>HYPERLINK("https://springer.com/13670")</f>
        <v>https://springer.com/13670</v>
      </c>
      <c r="D1633" s="2" t="s">
        <v>3299</v>
      </c>
      <c r="E1633" s="2" t="s">
        <v>8</v>
      </c>
    </row>
    <row r="1634" spans="1:5" ht="12.75" customHeight="1" x14ac:dyDescent="0.3">
      <c r="A1634" s="2" t="s">
        <v>3300</v>
      </c>
      <c r="B1634" s="2" t="s">
        <v>78</v>
      </c>
      <c r="C1634" s="3" t="str">
        <f>HYPERLINK("https://springer.com/13671")</f>
        <v>https://springer.com/13671</v>
      </c>
      <c r="D1634" s="2" t="s">
        <v>3301</v>
      </c>
      <c r="E1634" s="2" t="s">
        <v>8</v>
      </c>
    </row>
    <row r="1635" spans="1:5" ht="12.75" customHeight="1" x14ac:dyDescent="0.3">
      <c r="A1635" s="2" t="s">
        <v>3302</v>
      </c>
      <c r="B1635" s="2" t="s">
        <v>78</v>
      </c>
      <c r="C1635" s="3" t="str">
        <f>HYPERLINK("https://springer.com/13679")</f>
        <v>https://springer.com/13679</v>
      </c>
      <c r="D1635" s="2" t="s">
        <v>3303</v>
      </c>
      <c r="E1635" s="2" t="s">
        <v>8</v>
      </c>
    </row>
    <row r="1636" spans="1:5" ht="12.75" customHeight="1" x14ac:dyDescent="0.3">
      <c r="A1636" s="2" t="s">
        <v>3304</v>
      </c>
      <c r="B1636" s="2" t="s">
        <v>78</v>
      </c>
      <c r="C1636" s="3" t="str">
        <f>HYPERLINK("https://springer.com/13691")</f>
        <v>https://springer.com/13691</v>
      </c>
      <c r="D1636" s="2" t="s">
        <v>3305</v>
      </c>
      <c r="E1636" s="2" t="s">
        <v>8</v>
      </c>
    </row>
    <row r="1637" spans="1:5" ht="12.75" customHeight="1" x14ac:dyDescent="0.3">
      <c r="A1637" s="2" t="s">
        <v>3306</v>
      </c>
      <c r="B1637" s="2" t="s">
        <v>63</v>
      </c>
      <c r="C1637" s="3" t="str">
        <f>HYPERLINK("https://springer.com/13721")</f>
        <v>https://springer.com/13721</v>
      </c>
      <c r="D1637" s="2" t="s">
        <v>3307</v>
      </c>
      <c r="E1637" s="2" t="s">
        <v>8</v>
      </c>
    </row>
    <row r="1638" spans="1:5" ht="12.75" customHeight="1" x14ac:dyDescent="0.3">
      <c r="A1638" s="2" t="s">
        <v>3308</v>
      </c>
      <c r="B1638" s="2" t="s">
        <v>218</v>
      </c>
      <c r="C1638" s="3" t="str">
        <f>HYPERLINK("https://springer.com/13726")</f>
        <v>https://springer.com/13726</v>
      </c>
      <c r="D1638" s="2" t="s">
        <v>3309</v>
      </c>
      <c r="E1638" s="2" t="s">
        <v>8</v>
      </c>
    </row>
    <row r="1639" spans="1:5" ht="12.75" customHeight="1" x14ac:dyDescent="0.3">
      <c r="A1639" s="2" t="s">
        <v>3310</v>
      </c>
      <c r="B1639" s="2" t="s">
        <v>78</v>
      </c>
      <c r="C1639" s="3" t="str">
        <f>HYPERLINK("https://springer.com/13730")</f>
        <v>https://springer.com/13730</v>
      </c>
      <c r="D1639" s="2" t="s">
        <v>3311</v>
      </c>
      <c r="E1639" s="2" t="s">
        <v>8</v>
      </c>
    </row>
    <row r="1640" spans="1:5" ht="12.75" customHeight="1" x14ac:dyDescent="0.3">
      <c r="A1640" s="2" t="s">
        <v>3312</v>
      </c>
      <c r="B1640" s="2" t="s">
        <v>63</v>
      </c>
      <c r="C1640" s="3" t="str">
        <f>HYPERLINK("https://springer.com/13735")</f>
        <v>https://springer.com/13735</v>
      </c>
      <c r="D1640" s="2" t="s">
        <v>3313</v>
      </c>
      <c r="E1640" s="2" t="s">
        <v>8</v>
      </c>
    </row>
    <row r="1641" spans="1:5" ht="12.75" customHeight="1" x14ac:dyDescent="0.3">
      <c r="A1641" s="2" t="s">
        <v>3314</v>
      </c>
      <c r="B1641" s="2" t="s">
        <v>218</v>
      </c>
      <c r="C1641" s="3" t="str">
        <f>HYPERLINK("https://springer.com/13738")</f>
        <v>https://springer.com/13738</v>
      </c>
      <c r="D1641" s="2" t="s">
        <v>3315</v>
      </c>
      <c r="E1641" s="2" t="s">
        <v>8</v>
      </c>
    </row>
    <row r="1642" spans="1:5" ht="12.75" customHeight="1" x14ac:dyDescent="0.3">
      <c r="A1642" s="2" t="s">
        <v>3316</v>
      </c>
      <c r="B1642" s="2" t="s">
        <v>6</v>
      </c>
      <c r="C1642" s="3" t="str">
        <f>HYPERLINK("https://springer.com/13744")</f>
        <v>https://springer.com/13744</v>
      </c>
      <c r="D1642" s="2" t="s">
        <v>3317</v>
      </c>
      <c r="E1642" s="2" t="s">
        <v>8</v>
      </c>
    </row>
    <row r="1643" spans="1:5" ht="12.75" customHeight="1" x14ac:dyDescent="0.3">
      <c r="A1643" s="2" t="s">
        <v>3318</v>
      </c>
      <c r="B1643" s="2" t="s">
        <v>63</v>
      </c>
      <c r="C1643" s="3" t="str">
        <f>HYPERLINK("https://springer.com/13748")</f>
        <v>https://springer.com/13748</v>
      </c>
      <c r="D1643" s="2" t="s">
        <v>3319</v>
      </c>
      <c r="E1643" s="2" t="s">
        <v>8</v>
      </c>
    </row>
    <row r="1644" spans="1:5" ht="12.75" customHeight="1" x14ac:dyDescent="0.3">
      <c r="A1644" s="2" t="s">
        <v>3320</v>
      </c>
      <c r="B1644" s="2" t="s">
        <v>868</v>
      </c>
      <c r="C1644" s="3" t="str">
        <f>HYPERLINK("https://springer.com/13752")</f>
        <v>https://springer.com/13752</v>
      </c>
      <c r="D1644" s="2" t="s">
        <v>3321</v>
      </c>
      <c r="E1644" s="2" t="s">
        <v>8</v>
      </c>
    </row>
    <row r="1645" spans="1:5" ht="12.75" customHeight="1" x14ac:dyDescent="0.3">
      <c r="A1645" s="2" t="s">
        <v>3322</v>
      </c>
      <c r="B1645" s="2" t="s">
        <v>63</v>
      </c>
      <c r="C1645" s="3" t="str">
        <f>HYPERLINK("https://springer.com/13755")</f>
        <v>https://springer.com/13755</v>
      </c>
      <c r="D1645" s="2" t="s">
        <v>3323</v>
      </c>
      <c r="E1645" s="2" t="s">
        <v>8</v>
      </c>
    </row>
    <row r="1646" spans="1:5" ht="12.75" customHeight="1" x14ac:dyDescent="0.3">
      <c r="A1646" s="2" t="s">
        <v>3324</v>
      </c>
      <c r="B1646" s="2" t="s">
        <v>20</v>
      </c>
      <c r="C1646" s="3" t="str">
        <f>HYPERLINK("https://springer.com/13760")</f>
        <v>https://springer.com/13760</v>
      </c>
      <c r="D1646" s="2" t="s">
        <v>3325</v>
      </c>
      <c r="E1646" s="2" t="s">
        <v>8</v>
      </c>
    </row>
    <row r="1647" spans="1:5" ht="12.75" customHeight="1" x14ac:dyDescent="0.3">
      <c r="A1647" s="2" t="s">
        <v>3326</v>
      </c>
      <c r="B1647" s="2" t="s">
        <v>133</v>
      </c>
      <c r="C1647" s="3" t="str">
        <f>HYPERLINK("https://springer.com/13762")</f>
        <v>https://springer.com/13762</v>
      </c>
      <c r="D1647" s="2" t="s">
        <v>3327</v>
      </c>
      <c r="E1647" s="2" t="s">
        <v>8</v>
      </c>
    </row>
    <row r="1648" spans="1:5" ht="12.75" customHeight="1" x14ac:dyDescent="0.3">
      <c r="A1648" s="2" t="s">
        <v>3328</v>
      </c>
      <c r="B1648" s="2" t="s">
        <v>6</v>
      </c>
      <c r="C1648" s="3" t="str">
        <f>HYPERLINK("https://springer.com/13770")</f>
        <v>https://springer.com/13770</v>
      </c>
      <c r="D1648" s="2" t="s">
        <v>3329</v>
      </c>
      <c r="E1648" s="2" t="s">
        <v>8</v>
      </c>
    </row>
    <row r="1649" spans="1:5" ht="12.75" customHeight="1" x14ac:dyDescent="0.3">
      <c r="A1649" s="2" t="s">
        <v>3330</v>
      </c>
      <c r="B1649" s="2" t="s">
        <v>78</v>
      </c>
      <c r="C1649" s="3" t="str">
        <f>HYPERLINK("https://springer.com/15010")</f>
        <v>https://springer.com/15010</v>
      </c>
      <c r="D1649" s="2" t="s">
        <v>3331</v>
      </c>
      <c r="E1649" s="2" t="s">
        <v>8</v>
      </c>
    </row>
    <row r="1650" spans="1:5" ht="12.75" customHeight="1" x14ac:dyDescent="0.3">
      <c r="A1650" s="2" t="s">
        <v>3332</v>
      </c>
      <c r="B1650" s="2" t="s">
        <v>78</v>
      </c>
      <c r="C1650" s="3" t="str">
        <f>HYPERLINK("https://springer.com/16024")</f>
        <v>https://springer.com/16024</v>
      </c>
      <c r="D1650" s="2" t="s">
        <v>3333</v>
      </c>
      <c r="E1650" s="2" t="s">
        <v>8</v>
      </c>
    </row>
    <row r="1651" spans="1:5" ht="12.75" customHeight="1" x14ac:dyDescent="0.3">
      <c r="A1651" s="2" t="s">
        <v>3334</v>
      </c>
      <c r="B1651" s="2" t="s">
        <v>181</v>
      </c>
      <c r="C1651" s="3" t="str">
        <f>HYPERLINK("https://springer.com/35764")</f>
        <v>https://springer.com/35764</v>
      </c>
      <c r="D1651" s="2" t="s">
        <v>3335</v>
      </c>
      <c r="E1651" s="2" t="s">
        <v>8</v>
      </c>
    </row>
    <row r="1652" spans="1:5" ht="12.75" customHeight="1" x14ac:dyDescent="0.3">
      <c r="A1652" s="2" t="s">
        <v>3336</v>
      </c>
      <c r="B1652" s="2" t="s">
        <v>753</v>
      </c>
      <c r="C1652" s="3" t="str">
        <f>HYPERLINK("https://springer.com/35834")</f>
        <v>https://springer.com/35834</v>
      </c>
      <c r="D1652" s="2" t="s">
        <v>3337</v>
      </c>
      <c r="E1652" s="2" t="s">
        <v>8</v>
      </c>
    </row>
    <row r="1653" spans="1:5" ht="12.75" customHeight="1" x14ac:dyDescent="0.3">
      <c r="A1653" s="2" t="s">
        <v>3338</v>
      </c>
      <c r="B1653" s="2" t="s">
        <v>6</v>
      </c>
      <c r="C1653" s="3" t="str">
        <f>HYPERLINK("https://springer.com/40003")</f>
        <v>https://springer.com/40003</v>
      </c>
      <c r="D1653" s="2" t="s">
        <v>3339</v>
      </c>
      <c r="E1653" s="2" t="s">
        <v>8</v>
      </c>
    </row>
    <row r="1654" spans="1:5" ht="12.75" customHeight="1" x14ac:dyDescent="0.3">
      <c r="A1654" s="2" t="s">
        <v>3340</v>
      </c>
      <c r="B1654" s="2" t="s">
        <v>20</v>
      </c>
      <c r="C1654" s="3" t="str">
        <f>HYPERLINK("https://springer.com/40005")</f>
        <v>https://springer.com/40005</v>
      </c>
      <c r="D1654" s="2" t="s">
        <v>3341</v>
      </c>
      <c r="E1654" s="2" t="s">
        <v>8</v>
      </c>
    </row>
    <row r="1655" spans="1:5" ht="12.75" customHeight="1" x14ac:dyDescent="0.3">
      <c r="A1655" s="2" t="s">
        <v>3342</v>
      </c>
      <c r="B1655" s="2" t="s">
        <v>3343</v>
      </c>
      <c r="C1655" s="3" t="str">
        <f>HYPERLINK("https://springer.com/40009")</f>
        <v>https://springer.com/40009</v>
      </c>
      <c r="D1655" s="2" t="s">
        <v>3344</v>
      </c>
      <c r="E1655" s="2" t="s">
        <v>8</v>
      </c>
    </row>
    <row r="1656" spans="1:5" ht="12.75" customHeight="1" x14ac:dyDescent="0.3">
      <c r="A1656" s="2" t="s">
        <v>3345</v>
      </c>
      <c r="B1656" s="2" t="s">
        <v>13</v>
      </c>
      <c r="C1656" s="3" t="str">
        <f>HYPERLINK("https://springer.com/40010")</f>
        <v>https://springer.com/40010</v>
      </c>
      <c r="D1656" s="2" t="s">
        <v>3346</v>
      </c>
      <c r="E1656" s="2" t="s">
        <v>8</v>
      </c>
    </row>
    <row r="1657" spans="1:5" ht="12.75" customHeight="1" x14ac:dyDescent="0.3">
      <c r="A1657" s="2" t="s">
        <v>3347</v>
      </c>
      <c r="B1657" s="2" t="s">
        <v>6</v>
      </c>
      <c r="C1657" s="3" t="str">
        <f>HYPERLINK("https://springer.com/40011")</f>
        <v>https://springer.com/40011</v>
      </c>
      <c r="D1657" s="2" t="s">
        <v>3348</v>
      </c>
      <c r="E1657" s="2" t="s">
        <v>8</v>
      </c>
    </row>
    <row r="1658" spans="1:5" ht="12.75" customHeight="1" x14ac:dyDescent="0.3">
      <c r="A1658" s="2" t="s">
        <v>3349</v>
      </c>
      <c r="B1658" s="2" t="s">
        <v>63</v>
      </c>
      <c r="C1658" s="3" t="str">
        <f>HYPERLINK("https://springer.com/40012")</f>
        <v>https://springer.com/40012</v>
      </c>
      <c r="D1658" s="2" t="s">
        <v>3350</v>
      </c>
      <c r="E1658" s="2" t="s">
        <v>8</v>
      </c>
    </row>
    <row r="1659" spans="1:5" ht="12.75" customHeight="1" x14ac:dyDescent="0.3">
      <c r="A1659" s="2" t="s">
        <v>3351</v>
      </c>
      <c r="B1659" s="2" t="s">
        <v>56</v>
      </c>
      <c r="C1659" s="3" t="str">
        <f>HYPERLINK("https://springer.com/40030")</f>
        <v>https://springer.com/40030</v>
      </c>
      <c r="D1659" s="2" t="s">
        <v>3352</v>
      </c>
      <c r="E1659" s="2" t="s">
        <v>8</v>
      </c>
    </row>
    <row r="1660" spans="1:5" ht="12.75" customHeight="1" x14ac:dyDescent="0.3">
      <c r="A1660" s="2" t="s">
        <v>3353</v>
      </c>
      <c r="B1660" s="2" t="s">
        <v>56</v>
      </c>
      <c r="C1660" s="3" t="str">
        <f>HYPERLINK("https://springer.com/40031")</f>
        <v>https://springer.com/40031</v>
      </c>
      <c r="D1660" s="2" t="s">
        <v>3354</v>
      </c>
      <c r="E1660" s="2" t="s">
        <v>8</v>
      </c>
    </row>
    <row r="1661" spans="1:5" ht="12.75" customHeight="1" x14ac:dyDescent="0.3">
      <c r="A1661" s="2" t="s">
        <v>3355</v>
      </c>
      <c r="B1661" s="2" t="s">
        <v>56</v>
      </c>
      <c r="C1661" s="3" t="str">
        <f>HYPERLINK("https://springer.com/40032")</f>
        <v>https://springer.com/40032</v>
      </c>
      <c r="D1661" s="2" t="s">
        <v>3356</v>
      </c>
      <c r="E1661" s="2" t="s">
        <v>8</v>
      </c>
    </row>
    <row r="1662" spans="1:5" ht="12.75" customHeight="1" x14ac:dyDescent="0.3">
      <c r="A1662" s="2" t="s">
        <v>3357</v>
      </c>
      <c r="B1662" s="2" t="s">
        <v>56</v>
      </c>
      <c r="C1662" s="3" t="str">
        <f>HYPERLINK("https://springer.com/40033")</f>
        <v>https://springer.com/40033</v>
      </c>
      <c r="D1662" s="2" t="s">
        <v>3358</v>
      </c>
      <c r="E1662" s="2" t="s">
        <v>8</v>
      </c>
    </row>
    <row r="1663" spans="1:5" ht="12.75" customHeight="1" x14ac:dyDescent="0.3">
      <c r="A1663" s="2" t="s">
        <v>3359</v>
      </c>
      <c r="B1663" s="2" t="s">
        <v>56</v>
      </c>
      <c r="C1663" s="3" t="str">
        <f>HYPERLINK("https://springer.com/40034")</f>
        <v>https://springer.com/40034</v>
      </c>
      <c r="D1663" s="2" t="s">
        <v>3360</v>
      </c>
      <c r="E1663" s="2" t="s">
        <v>8</v>
      </c>
    </row>
    <row r="1664" spans="1:5" ht="12.75" customHeight="1" x14ac:dyDescent="0.3">
      <c r="A1664" s="2" t="s">
        <v>3361</v>
      </c>
      <c r="B1664" s="2" t="s">
        <v>13</v>
      </c>
      <c r="C1664" s="3" t="str">
        <f>HYPERLINK("https://springer.com/40042")</f>
        <v>https://springer.com/40042</v>
      </c>
      <c r="D1664" s="2" t="s">
        <v>3362</v>
      </c>
      <c r="E1664" s="2" t="s">
        <v>8</v>
      </c>
    </row>
    <row r="1665" spans="1:5" ht="12.75" customHeight="1" x14ac:dyDescent="0.3">
      <c r="A1665" s="2" t="s">
        <v>3363</v>
      </c>
      <c r="B1665" s="2" t="s">
        <v>10</v>
      </c>
      <c r="C1665" s="3" t="str">
        <f>HYPERLINK("https://springer.com/40062")</f>
        <v>https://springer.com/40062</v>
      </c>
      <c r="D1665" s="2" t="s">
        <v>3364</v>
      </c>
      <c r="E1665" s="2" t="s">
        <v>8</v>
      </c>
    </row>
    <row r="1666" spans="1:5" ht="12.75" customHeight="1" x14ac:dyDescent="0.3">
      <c r="A1666" s="2" t="s">
        <v>3365</v>
      </c>
      <c r="B1666" s="2" t="s">
        <v>10</v>
      </c>
      <c r="C1666" s="3" t="str">
        <f>HYPERLINK("https://springer.com/40065")</f>
        <v>https://springer.com/40065</v>
      </c>
      <c r="D1666" s="2" t="s">
        <v>3366</v>
      </c>
      <c r="E1666" s="2" t="s">
        <v>8</v>
      </c>
    </row>
    <row r="1667" spans="1:5" ht="12.75" customHeight="1" x14ac:dyDescent="0.3">
      <c r="A1667" s="2" t="s">
        <v>3367</v>
      </c>
      <c r="B1667" s="2" t="s">
        <v>10</v>
      </c>
      <c r="C1667" s="3" t="str">
        <f>HYPERLINK("https://springer.com/40072")</f>
        <v>https://springer.com/40072</v>
      </c>
      <c r="D1667" s="2" t="s">
        <v>3368</v>
      </c>
      <c r="E1667" s="2" t="s">
        <v>8</v>
      </c>
    </row>
    <row r="1668" spans="1:5" ht="12.75" customHeight="1" x14ac:dyDescent="0.3">
      <c r="A1668" s="2" t="s">
        <v>3369</v>
      </c>
      <c r="B1668" s="2" t="s">
        <v>56</v>
      </c>
      <c r="C1668" s="3" t="str">
        <f>HYPERLINK("https://springer.com/40098")</f>
        <v>https://springer.com/40098</v>
      </c>
      <c r="D1668" s="2" t="s">
        <v>3370</v>
      </c>
      <c r="E1668" s="2" t="s">
        <v>8</v>
      </c>
    </row>
    <row r="1669" spans="1:5" ht="12.75" customHeight="1" x14ac:dyDescent="0.3">
      <c r="A1669" s="2" t="s">
        <v>3371</v>
      </c>
      <c r="B1669" s="2" t="s">
        <v>78</v>
      </c>
      <c r="C1669" s="3" t="str">
        <f>HYPERLINK("https://springer.com/40124")</f>
        <v>https://springer.com/40124</v>
      </c>
      <c r="D1669" s="2" t="s">
        <v>3372</v>
      </c>
      <c r="E1669" s="2" t="s">
        <v>8</v>
      </c>
    </row>
    <row r="1670" spans="1:5" ht="12.75" customHeight="1" x14ac:dyDescent="0.3">
      <c r="A1670" s="2" t="s">
        <v>3373</v>
      </c>
      <c r="B1670" s="2" t="s">
        <v>78</v>
      </c>
      <c r="C1670" s="3" t="str">
        <f>HYPERLINK("https://springer.com/40134")</f>
        <v>https://springer.com/40134</v>
      </c>
      <c r="D1670" s="2" t="s">
        <v>3374</v>
      </c>
      <c r="E1670" s="2" t="s">
        <v>8</v>
      </c>
    </row>
    <row r="1671" spans="1:5" ht="12.75" customHeight="1" x14ac:dyDescent="0.3">
      <c r="A1671" s="2" t="s">
        <v>3375</v>
      </c>
      <c r="B1671" s="2" t="s">
        <v>78</v>
      </c>
      <c r="C1671" s="3" t="str">
        <f>HYPERLINK("https://springer.com/40135")</f>
        <v>https://springer.com/40135</v>
      </c>
      <c r="D1671" s="2" t="s">
        <v>3376</v>
      </c>
      <c r="E1671" s="2" t="s">
        <v>8</v>
      </c>
    </row>
    <row r="1672" spans="1:5" ht="12.75" customHeight="1" x14ac:dyDescent="0.3">
      <c r="A1672" s="2" t="s">
        <v>3377</v>
      </c>
      <c r="B1672" s="2" t="s">
        <v>78</v>
      </c>
      <c r="C1672" s="3" t="str">
        <f>HYPERLINK("https://springer.com/40136")</f>
        <v>https://springer.com/40136</v>
      </c>
      <c r="D1672" s="2" t="s">
        <v>3378</v>
      </c>
      <c r="E1672" s="2" t="s">
        <v>8</v>
      </c>
    </row>
    <row r="1673" spans="1:5" ht="12.75" customHeight="1" x14ac:dyDescent="0.3">
      <c r="A1673" s="2" t="s">
        <v>3379</v>
      </c>
      <c r="B1673" s="2" t="s">
        <v>78</v>
      </c>
      <c r="C1673" s="3" t="str">
        <f>HYPERLINK("https://springer.com/40137")</f>
        <v>https://springer.com/40137</v>
      </c>
      <c r="D1673" s="2" t="s">
        <v>3380</v>
      </c>
      <c r="E1673" s="2" t="s">
        <v>8</v>
      </c>
    </row>
    <row r="1674" spans="1:5" ht="12.75" customHeight="1" x14ac:dyDescent="0.3">
      <c r="A1674" s="2" t="s">
        <v>3381</v>
      </c>
      <c r="B1674" s="2" t="s">
        <v>78</v>
      </c>
      <c r="C1674" s="3" t="str">
        <f>HYPERLINK("https://springer.com/40138")</f>
        <v>https://springer.com/40138</v>
      </c>
      <c r="D1674" s="2" t="s">
        <v>3382</v>
      </c>
      <c r="E1674" s="2" t="s">
        <v>8</v>
      </c>
    </row>
    <row r="1675" spans="1:5" ht="12.75" customHeight="1" x14ac:dyDescent="0.3">
      <c r="A1675" s="2" t="s">
        <v>3383</v>
      </c>
      <c r="B1675" s="2" t="s">
        <v>78</v>
      </c>
      <c r="C1675" s="3" t="str">
        <f>HYPERLINK("https://springer.com/40140")</f>
        <v>https://springer.com/40140</v>
      </c>
      <c r="D1675" s="2" t="s">
        <v>3384</v>
      </c>
      <c r="E1675" s="2" t="s">
        <v>8</v>
      </c>
    </row>
    <row r="1676" spans="1:5" ht="12.75" customHeight="1" x14ac:dyDescent="0.3">
      <c r="A1676" s="2" t="s">
        <v>3385</v>
      </c>
      <c r="B1676" s="2" t="s">
        <v>78</v>
      </c>
      <c r="C1676" s="3" t="str">
        <f>HYPERLINK("https://springer.com/40141")</f>
        <v>https://springer.com/40141</v>
      </c>
      <c r="D1676" s="2" t="s">
        <v>3386</v>
      </c>
      <c r="E1676" s="2" t="s">
        <v>8</v>
      </c>
    </row>
    <row r="1677" spans="1:5" ht="12.75" customHeight="1" x14ac:dyDescent="0.3">
      <c r="A1677" s="2" t="s">
        <v>3387</v>
      </c>
      <c r="B1677" s="2" t="s">
        <v>78</v>
      </c>
      <c r="C1677" s="3" t="str">
        <f>HYPERLINK("https://springer.com/40142")</f>
        <v>https://springer.com/40142</v>
      </c>
      <c r="D1677" s="2" t="s">
        <v>3388</v>
      </c>
      <c r="E1677" s="2" t="s">
        <v>8</v>
      </c>
    </row>
    <row r="1678" spans="1:5" ht="12.75" customHeight="1" x14ac:dyDescent="0.3">
      <c r="A1678" s="2" t="s">
        <v>3389</v>
      </c>
      <c r="B1678" s="2" t="s">
        <v>794</v>
      </c>
      <c r="C1678" s="3" t="str">
        <f>HYPERLINK("https://springer.com/40152")</f>
        <v>https://springer.com/40152</v>
      </c>
      <c r="D1678" s="2" t="s">
        <v>3390</v>
      </c>
      <c r="E1678" s="2" t="s">
        <v>8</v>
      </c>
    </row>
    <row r="1679" spans="1:5" ht="12.75" customHeight="1" x14ac:dyDescent="0.3">
      <c r="A1679" s="2" t="s">
        <v>3391</v>
      </c>
      <c r="B1679" s="2" t="s">
        <v>181</v>
      </c>
      <c r="C1679" s="3" t="str">
        <f>HYPERLINK("https://springer.com/40171")</f>
        <v>https://springer.com/40171</v>
      </c>
      <c r="D1679" s="2" t="s">
        <v>3392</v>
      </c>
      <c r="E1679" s="2" t="s">
        <v>8</v>
      </c>
    </row>
    <row r="1680" spans="1:5" ht="12.75" customHeight="1" x14ac:dyDescent="0.3">
      <c r="A1680" s="2" t="s">
        <v>3393</v>
      </c>
      <c r="B1680" s="2" t="s">
        <v>396</v>
      </c>
      <c r="C1680" s="3" t="str">
        <f>HYPERLINK("https://springer.com/40192")</f>
        <v>https://springer.com/40192</v>
      </c>
      <c r="D1680" s="2" t="s">
        <v>3394</v>
      </c>
      <c r="E1680" s="2" t="s">
        <v>8</v>
      </c>
    </row>
    <row r="1681" spans="1:5" ht="12.75" customHeight="1" x14ac:dyDescent="0.3">
      <c r="A1681" s="2" t="s">
        <v>3395</v>
      </c>
      <c r="B1681" s="2" t="s">
        <v>396</v>
      </c>
      <c r="C1681" s="3" t="str">
        <f>HYPERLINK("https://springer.com/40194")</f>
        <v>https://springer.com/40194</v>
      </c>
      <c r="D1681" s="2" t="s">
        <v>3396</v>
      </c>
      <c r="E1681" s="2" t="s">
        <v>8</v>
      </c>
    </row>
    <row r="1682" spans="1:5" ht="12.75" customHeight="1" x14ac:dyDescent="0.3">
      <c r="A1682" s="2" t="s">
        <v>3397</v>
      </c>
      <c r="B1682" s="2" t="s">
        <v>396</v>
      </c>
      <c r="C1682" s="3" t="str">
        <f>HYPERLINK("https://springer.com/40195")</f>
        <v>https://springer.com/40195</v>
      </c>
      <c r="D1682" s="2" t="s">
        <v>3398</v>
      </c>
      <c r="E1682" s="2" t="s">
        <v>8</v>
      </c>
    </row>
    <row r="1683" spans="1:5" ht="12.75" customHeight="1" x14ac:dyDescent="0.3">
      <c r="A1683" s="2" t="s">
        <v>3399</v>
      </c>
      <c r="B1683" s="2" t="s">
        <v>20</v>
      </c>
      <c r="C1683" s="3" t="str">
        <f>HYPERLINK("https://springer.com/40199")</f>
        <v>https://springer.com/40199</v>
      </c>
      <c r="D1683" s="2" t="s">
        <v>3400</v>
      </c>
      <c r="E1683" s="2" t="s">
        <v>8</v>
      </c>
    </row>
    <row r="1684" spans="1:5" ht="12.75" customHeight="1" x14ac:dyDescent="0.3">
      <c r="A1684" s="2" t="s">
        <v>3401</v>
      </c>
      <c r="B1684" s="2" t="s">
        <v>78</v>
      </c>
      <c r="C1684" s="3" t="str">
        <f>HYPERLINK("https://springer.com/40200")</f>
        <v>https://springer.com/40200</v>
      </c>
      <c r="D1684" s="2" t="s">
        <v>3402</v>
      </c>
      <c r="E1684" s="2" t="s">
        <v>8</v>
      </c>
    </row>
    <row r="1685" spans="1:5" ht="12.75" customHeight="1" x14ac:dyDescent="0.3">
      <c r="A1685" s="2" t="s">
        <v>3403</v>
      </c>
      <c r="B1685" s="2" t="s">
        <v>133</v>
      </c>
      <c r="C1685" s="3" t="str">
        <f>HYPERLINK("https://springer.com/40201")</f>
        <v>https://springer.com/40201</v>
      </c>
      <c r="D1685" s="2" t="s">
        <v>3404</v>
      </c>
      <c r="E1685" s="2" t="s">
        <v>8</v>
      </c>
    </row>
    <row r="1686" spans="1:5" ht="12.75" customHeight="1" x14ac:dyDescent="0.3">
      <c r="A1686" s="2" t="s">
        <v>3405</v>
      </c>
      <c r="B1686" s="2" t="s">
        <v>20</v>
      </c>
      <c r="C1686" s="3" t="str">
        <f>HYPERLINK("https://springer.com/40203")</f>
        <v>https://springer.com/40203</v>
      </c>
      <c r="D1686" s="2" t="s">
        <v>3406</v>
      </c>
      <c r="E1686" s="2" t="s">
        <v>8</v>
      </c>
    </row>
    <row r="1687" spans="1:5" ht="12.75" customHeight="1" x14ac:dyDescent="0.3">
      <c r="A1687" s="2" t="s">
        <v>3407</v>
      </c>
      <c r="B1687" s="2" t="s">
        <v>78</v>
      </c>
      <c r="C1687" s="3" t="str">
        <f>HYPERLINK("https://springer.com/40211")</f>
        <v>https://springer.com/40211</v>
      </c>
      <c r="D1687" s="2" t="s">
        <v>3408</v>
      </c>
      <c r="E1687" s="2" t="s">
        <v>8</v>
      </c>
    </row>
    <row r="1688" spans="1:5" ht="12.75" customHeight="1" x14ac:dyDescent="0.3">
      <c r="A1688" s="2" t="s">
        <v>3409</v>
      </c>
      <c r="B1688" s="2" t="s">
        <v>218</v>
      </c>
      <c r="C1688" s="3" t="str">
        <f>HYPERLINK("https://springer.com/40242")</f>
        <v>https://springer.com/40242</v>
      </c>
      <c r="D1688" s="2" t="s">
        <v>3410</v>
      </c>
      <c r="E1688" s="2" t="s">
        <v>8</v>
      </c>
    </row>
    <row r="1689" spans="1:5" ht="12.75" customHeight="1" x14ac:dyDescent="0.3">
      <c r="A1689" s="2" t="s">
        <v>3411</v>
      </c>
      <c r="B1689" s="2" t="s">
        <v>78</v>
      </c>
      <c r="C1689" s="3" t="str">
        <f>HYPERLINK("https://springer.com/40256")</f>
        <v>https://springer.com/40256</v>
      </c>
      <c r="D1689" s="2" t="s">
        <v>3412</v>
      </c>
      <c r="E1689" s="2" t="s">
        <v>141</v>
      </c>
    </row>
    <row r="1690" spans="1:5" ht="12.75" customHeight="1" x14ac:dyDescent="0.3">
      <c r="A1690" s="2" t="s">
        <v>3413</v>
      </c>
      <c r="B1690" s="2" t="s">
        <v>78</v>
      </c>
      <c r="C1690" s="3" t="str">
        <f>HYPERLINK("https://springer.com/40257")</f>
        <v>https://springer.com/40257</v>
      </c>
      <c r="D1690" s="2" t="s">
        <v>3414</v>
      </c>
      <c r="E1690" s="2" t="s">
        <v>141</v>
      </c>
    </row>
    <row r="1691" spans="1:5" ht="12.75" customHeight="1" x14ac:dyDescent="0.3">
      <c r="A1691" s="2" t="s">
        <v>3415</v>
      </c>
      <c r="B1691" s="2" t="s">
        <v>78</v>
      </c>
      <c r="C1691" s="3" t="str">
        <f>HYPERLINK("https://springer.com/40258")</f>
        <v>https://springer.com/40258</v>
      </c>
      <c r="D1691" s="2" t="s">
        <v>3416</v>
      </c>
      <c r="E1691" s="2" t="s">
        <v>141</v>
      </c>
    </row>
    <row r="1692" spans="1:5" ht="12.75" customHeight="1" x14ac:dyDescent="0.3">
      <c r="A1692" s="2" t="s">
        <v>3417</v>
      </c>
      <c r="B1692" s="2" t="s">
        <v>20</v>
      </c>
      <c r="C1692" s="3" t="str">
        <f>HYPERLINK("https://springer.com/40259")</f>
        <v>https://springer.com/40259</v>
      </c>
      <c r="D1692" s="2" t="s">
        <v>3418</v>
      </c>
      <c r="E1692" s="2" t="s">
        <v>141</v>
      </c>
    </row>
    <row r="1693" spans="1:5" ht="12.75" customHeight="1" x14ac:dyDescent="0.3">
      <c r="A1693" s="2" t="s">
        <v>3419</v>
      </c>
      <c r="B1693" s="2" t="s">
        <v>78</v>
      </c>
      <c r="C1693" s="3" t="str">
        <f>HYPERLINK("https://springer.com/40261")</f>
        <v>https://springer.com/40261</v>
      </c>
      <c r="D1693" s="2" t="s">
        <v>3420</v>
      </c>
      <c r="E1693" s="2" t="s">
        <v>141</v>
      </c>
    </row>
    <row r="1694" spans="1:5" ht="12.75" customHeight="1" x14ac:dyDescent="0.3">
      <c r="A1694" s="2" t="s">
        <v>3421</v>
      </c>
      <c r="B1694" s="2" t="s">
        <v>78</v>
      </c>
      <c r="C1694" s="3" t="str">
        <f>HYPERLINK("https://springer.com/40262")</f>
        <v>https://springer.com/40262</v>
      </c>
      <c r="D1694" s="2" t="s">
        <v>3422</v>
      </c>
      <c r="E1694" s="2" t="s">
        <v>141</v>
      </c>
    </row>
    <row r="1695" spans="1:5" ht="12.75" customHeight="1" x14ac:dyDescent="0.3">
      <c r="A1695" s="2" t="s">
        <v>3423</v>
      </c>
      <c r="B1695" s="2" t="s">
        <v>78</v>
      </c>
      <c r="C1695" s="3" t="str">
        <f>HYPERLINK("https://springer.com/40263")</f>
        <v>https://springer.com/40263</v>
      </c>
      <c r="D1695" s="2" t="s">
        <v>3424</v>
      </c>
      <c r="E1695" s="2" t="s">
        <v>141</v>
      </c>
    </row>
    <row r="1696" spans="1:5" ht="12.75" customHeight="1" x14ac:dyDescent="0.3">
      <c r="A1696" s="2" t="s">
        <v>3425</v>
      </c>
      <c r="B1696" s="2" t="s">
        <v>78</v>
      </c>
      <c r="C1696" s="3" t="str">
        <f>HYPERLINK("https://springer.com/40264")</f>
        <v>https://springer.com/40264</v>
      </c>
      <c r="D1696" s="2" t="s">
        <v>3426</v>
      </c>
      <c r="E1696" s="2" t="s">
        <v>141</v>
      </c>
    </row>
    <row r="1697" spans="1:5" ht="12.75" customHeight="1" x14ac:dyDescent="0.3">
      <c r="A1697" s="2" t="s">
        <v>3427</v>
      </c>
      <c r="B1697" s="2" t="s">
        <v>78</v>
      </c>
      <c r="C1697" s="3" t="str">
        <f>HYPERLINK("https://springer.com/40265")</f>
        <v>https://springer.com/40265</v>
      </c>
      <c r="D1697" s="2" t="s">
        <v>3428</v>
      </c>
      <c r="E1697" s="2" t="s">
        <v>141</v>
      </c>
    </row>
    <row r="1698" spans="1:5" ht="12.75" customHeight="1" x14ac:dyDescent="0.3">
      <c r="A1698" s="2" t="s">
        <v>3429</v>
      </c>
      <c r="B1698" s="2" t="s">
        <v>78</v>
      </c>
      <c r="C1698" s="3" t="str">
        <f>HYPERLINK("https://springer.com/40266")</f>
        <v>https://springer.com/40266</v>
      </c>
      <c r="D1698" s="2" t="s">
        <v>3430</v>
      </c>
      <c r="E1698" s="2" t="s">
        <v>141</v>
      </c>
    </row>
    <row r="1699" spans="1:5" ht="12.75" customHeight="1" x14ac:dyDescent="0.3">
      <c r="A1699" s="2" t="s">
        <v>3431</v>
      </c>
      <c r="B1699" s="2" t="s">
        <v>1706</v>
      </c>
      <c r="C1699" s="3" t="str">
        <f>HYPERLINK("https://springer.com/40267")</f>
        <v>https://springer.com/40267</v>
      </c>
      <c r="D1699" s="2" t="s">
        <v>3432</v>
      </c>
      <c r="E1699" s="2" t="s">
        <v>141</v>
      </c>
    </row>
    <row r="1700" spans="1:5" ht="12.75" customHeight="1" x14ac:dyDescent="0.3">
      <c r="A1700" s="2" t="s">
        <v>3433</v>
      </c>
      <c r="B1700" s="2" t="s">
        <v>78</v>
      </c>
      <c r="C1700" s="3" t="str">
        <f>HYPERLINK("https://springer.com/40271")</f>
        <v>https://springer.com/40271</v>
      </c>
      <c r="D1700" s="2" t="s">
        <v>3434</v>
      </c>
      <c r="E1700" s="2" t="s">
        <v>141</v>
      </c>
    </row>
    <row r="1701" spans="1:5" ht="12.75" customHeight="1" x14ac:dyDescent="0.3">
      <c r="A1701" s="2" t="s">
        <v>3435</v>
      </c>
      <c r="B1701" s="2" t="s">
        <v>78</v>
      </c>
      <c r="C1701" s="3" t="str">
        <f>HYPERLINK("https://springer.com/40272")</f>
        <v>https://springer.com/40272</v>
      </c>
      <c r="D1701" s="2" t="s">
        <v>3436</v>
      </c>
      <c r="E1701" s="2" t="s">
        <v>141</v>
      </c>
    </row>
    <row r="1702" spans="1:5" ht="12.75" customHeight="1" x14ac:dyDescent="0.3">
      <c r="A1702" s="2" t="s">
        <v>3437</v>
      </c>
      <c r="B1702" s="2" t="s">
        <v>78</v>
      </c>
      <c r="C1702" s="3" t="str">
        <f>HYPERLINK("https://springer.com/40273")</f>
        <v>https://springer.com/40273</v>
      </c>
      <c r="D1702" s="2" t="s">
        <v>3438</v>
      </c>
      <c r="E1702" s="2" t="s">
        <v>141</v>
      </c>
    </row>
    <row r="1703" spans="1:5" ht="12.75" customHeight="1" x14ac:dyDescent="0.3">
      <c r="A1703" s="2" t="s">
        <v>3439</v>
      </c>
      <c r="B1703" s="2" t="s">
        <v>78</v>
      </c>
      <c r="C1703" s="3" t="str">
        <f>HYPERLINK("https://springer.com/40279")</f>
        <v>https://springer.com/40279</v>
      </c>
      <c r="D1703" s="2" t="s">
        <v>3440</v>
      </c>
      <c r="E1703" s="2" t="s">
        <v>8</v>
      </c>
    </row>
    <row r="1704" spans="1:5" ht="12.75" customHeight="1" x14ac:dyDescent="0.3">
      <c r="A1704" s="2" t="s">
        <v>3441</v>
      </c>
      <c r="B1704" s="2" t="s">
        <v>20</v>
      </c>
      <c r="C1704" s="3" t="str">
        <f>HYPERLINK("https://springer.com/40290")</f>
        <v>https://springer.com/40290</v>
      </c>
      <c r="D1704" s="2" t="s">
        <v>3442</v>
      </c>
      <c r="E1704" s="2" t="s">
        <v>141</v>
      </c>
    </row>
    <row r="1705" spans="1:5" ht="12.75" customHeight="1" x14ac:dyDescent="0.3">
      <c r="A1705" s="2" t="s">
        <v>3443</v>
      </c>
      <c r="B1705" s="2" t="s">
        <v>20</v>
      </c>
      <c r="C1705" s="3" t="str">
        <f>HYPERLINK("https://springer.com/40291")</f>
        <v>https://springer.com/40291</v>
      </c>
      <c r="D1705" s="2" t="s">
        <v>3444</v>
      </c>
      <c r="E1705" s="2" t="s">
        <v>141</v>
      </c>
    </row>
    <row r="1706" spans="1:5" ht="12.75" customHeight="1" x14ac:dyDescent="0.3">
      <c r="A1706" s="2" t="s">
        <v>3445</v>
      </c>
      <c r="B1706" s="2" t="s">
        <v>78</v>
      </c>
      <c r="C1706" s="3" t="str">
        <f>HYPERLINK("https://springer.com/40292")</f>
        <v>https://springer.com/40292</v>
      </c>
      <c r="D1706" s="2" t="s">
        <v>3446</v>
      </c>
      <c r="E1706" s="2" t="s">
        <v>141</v>
      </c>
    </row>
    <row r="1707" spans="1:5" ht="12.75" customHeight="1" x14ac:dyDescent="0.3">
      <c r="A1707" s="2" t="s">
        <v>3447</v>
      </c>
      <c r="B1707" s="2" t="s">
        <v>56</v>
      </c>
      <c r="C1707" s="3" t="str">
        <f>HYPERLINK("https://springer.com/40295")</f>
        <v>https://springer.com/40295</v>
      </c>
      <c r="D1707" s="2" t="s">
        <v>3448</v>
      </c>
      <c r="E1707" s="2" t="s">
        <v>8</v>
      </c>
    </row>
    <row r="1708" spans="1:5" ht="12.75" customHeight="1" x14ac:dyDescent="0.3">
      <c r="A1708" s="2" t="s">
        <v>3449</v>
      </c>
      <c r="B1708" s="2" t="s">
        <v>753</v>
      </c>
      <c r="C1708" s="3" t="str">
        <f>HYPERLINK("https://springer.com/40299")</f>
        <v>https://springer.com/40299</v>
      </c>
      <c r="D1708" s="2" t="s">
        <v>3450</v>
      </c>
      <c r="E1708" s="2" t="s">
        <v>8</v>
      </c>
    </row>
    <row r="1709" spans="1:5" ht="12.75" customHeight="1" x14ac:dyDescent="0.3">
      <c r="A1709" s="2" t="s">
        <v>3451</v>
      </c>
      <c r="B1709" s="2" t="s">
        <v>170</v>
      </c>
      <c r="C1709" s="3" t="str">
        <f>HYPERLINK("https://springer.com/40300")</f>
        <v>https://springer.com/40300</v>
      </c>
      <c r="D1709" s="2" t="s">
        <v>3452</v>
      </c>
      <c r="E1709" s="2" t="s">
        <v>8</v>
      </c>
    </row>
    <row r="1710" spans="1:5" ht="12.75" customHeight="1" x14ac:dyDescent="0.3">
      <c r="A1710" s="2" t="s">
        <v>3453</v>
      </c>
      <c r="B1710" s="2" t="s">
        <v>10</v>
      </c>
      <c r="C1710" s="3" t="str">
        <f>HYPERLINK("https://springer.com/40304")</f>
        <v>https://springer.com/40304</v>
      </c>
      <c r="D1710" s="2" t="s">
        <v>3454</v>
      </c>
      <c r="E1710" s="2" t="s">
        <v>8</v>
      </c>
    </row>
    <row r="1711" spans="1:5" ht="12.75" customHeight="1" x14ac:dyDescent="0.3">
      <c r="A1711" s="2" t="s">
        <v>3455</v>
      </c>
      <c r="B1711" s="2" t="s">
        <v>10</v>
      </c>
      <c r="C1711" s="3" t="str">
        <f>HYPERLINK("https://springer.com/40305")</f>
        <v>https://springer.com/40305</v>
      </c>
      <c r="D1711" s="2" t="s">
        <v>3456</v>
      </c>
      <c r="E1711" s="2" t="s">
        <v>8</v>
      </c>
    </row>
    <row r="1712" spans="1:5" ht="12.75" customHeight="1" x14ac:dyDescent="0.3">
      <c r="A1712" s="2" t="s">
        <v>3457</v>
      </c>
      <c r="B1712" s="2" t="s">
        <v>10</v>
      </c>
      <c r="C1712" s="3" t="str">
        <f>HYPERLINK("https://springer.com/40306")</f>
        <v>https://springer.com/40306</v>
      </c>
      <c r="D1712" s="2" t="s">
        <v>3458</v>
      </c>
      <c r="E1712" s="2" t="s">
        <v>8</v>
      </c>
    </row>
    <row r="1713" spans="1:5" ht="12.75" customHeight="1" x14ac:dyDescent="0.3">
      <c r="A1713" s="2" t="s">
        <v>3459</v>
      </c>
      <c r="B1713" s="2" t="s">
        <v>56</v>
      </c>
      <c r="C1713" s="3" t="str">
        <f>HYPERLINK("https://springer.com/40313")</f>
        <v>https://springer.com/40313</v>
      </c>
      <c r="D1713" s="2" t="s">
        <v>3460</v>
      </c>
      <c r="E1713" s="2" t="s">
        <v>8</v>
      </c>
    </row>
    <row r="1714" spans="1:5" ht="12.75" customHeight="1" x14ac:dyDescent="0.3">
      <c r="A1714" s="2" t="s">
        <v>3461</v>
      </c>
      <c r="B1714" s="2" t="s">
        <v>10</v>
      </c>
      <c r="C1714" s="3" t="str">
        <f>HYPERLINK("https://springer.com/40314")</f>
        <v>https://springer.com/40314</v>
      </c>
      <c r="D1714" s="2" t="s">
        <v>3462</v>
      </c>
      <c r="E1714" s="2" t="s">
        <v>8</v>
      </c>
    </row>
    <row r="1715" spans="1:5" ht="12.75" customHeight="1" x14ac:dyDescent="0.3">
      <c r="A1715" s="2" t="s">
        <v>3463</v>
      </c>
      <c r="B1715" s="2" t="s">
        <v>10</v>
      </c>
      <c r="C1715" s="3" t="str">
        <f>HYPERLINK("https://springer.com/40315")</f>
        <v>https://springer.com/40315</v>
      </c>
      <c r="D1715" s="2" t="s">
        <v>3464</v>
      </c>
      <c r="E1715" s="2" t="s">
        <v>8</v>
      </c>
    </row>
    <row r="1716" spans="1:5" ht="12.75" customHeight="1" x14ac:dyDescent="0.3">
      <c r="A1716" s="2" t="s">
        <v>3465</v>
      </c>
      <c r="B1716" s="2" t="s">
        <v>10</v>
      </c>
      <c r="C1716" s="3" t="str">
        <f>HYPERLINK("https://springer.com/40316")</f>
        <v>https://springer.com/40316</v>
      </c>
      <c r="D1716" s="2" t="s">
        <v>3466</v>
      </c>
      <c r="E1716" s="2" t="s">
        <v>8</v>
      </c>
    </row>
    <row r="1717" spans="1:5" ht="12.75" customHeight="1" x14ac:dyDescent="0.3">
      <c r="A1717" s="2" t="s">
        <v>3467</v>
      </c>
      <c r="B1717" s="2" t="s">
        <v>347</v>
      </c>
      <c r="C1717" s="3" t="str">
        <f>HYPERLINK("https://springer.com/40318")</f>
        <v>https://springer.com/40318</v>
      </c>
      <c r="D1717" s="2" t="s">
        <v>3468</v>
      </c>
      <c r="E1717" s="2" t="s">
        <v>8</v>
      </c>
    </row>
    <row r="1718" spans="1:5" ht="12.75" customHeight="1" x14ac:dyDescent="0.3">
      <c r="A1718" s="2" t="s">
        <v>3469</v>
      </c>
      <c r="B1718" s="2" t="s">
        <v>347</v>
      </c>
      <c r="C1718" s="3" t="str">
        <f>HYPERLINK("https://springer.com/40319")</f>
        <v>https://springer.com/40319</v>
      </c>
      <c r="D1718" s="2" t="s">
        <v>3470</v>
      </c>
      <c r="E1718" s="2" t="s">
        <v>8</v>
      </c>
    </row>
    <row r="1719" spans="1:5" ht="12.75" customHeight="1" x14ac:dyDescent="0.3">
      <c r="A1719" s="2" t="s">
        <v>3471</v>
      </c>
      <c r="B1719" s="2" t="s">
        <v>10</v>
      </c>
      <c r="C1719" s="3" t="str">
        <f>HYPERLINK("https://springer.com/40324")</f>
        <v>https://springer.com/40324</v>
      </c>
      <c r="D1719" s="2" t="s">
        <v>3472</v>
      </c>
      <c r="E1719" s="2" t="s">
        <v>8</v>
      </c>
    </row>
    <row r="1720" spans="1:5" ht="12.75" customHeight="1" x14ac:dyDescent="0.3">
      <c r="A1720" s="2" t="s">
        <v>3473</v>
      </c>
      <c r="B1720" s="2" t="s">
        <v>26</v>
      </c>
      <c r="C1720" s="3" t="str">
        <f>HYPERLINK("https://springer.com/40328")</f>
        <v>https://springer.com/40328</v>
      </c>
      <c r="D1720" s="2" t="s">
        <v>3474</v>
      </c>
      <c r="E1720" s="2" t="s">
        <v>8</v>
      </c>
    </row>
    <row r="1721" spans="1:5" ht="12.75" customHeight="1" x14ac:dyDescent="0.3">
      <c r="A1721" s="2" t="s">
        <v>3475</v>
      </c>
      <c r="B1721" s="2" t="s">
        <v>528</v>
      </c>
      <c r="C1721" s="3" t="str">
        <f>HYPERLINK("https://springer.com/40333")</f>
        <v>https://springer.com/40333</v>
      </c>
      <c r="D1721" s="2" t="s">
        <v>3476</v>
      </c>
      <c r="E1721" s="2" t="s">
        <v>8</v>
      </c>
    </row>
    <row r="1722" spans="1:5" ht="12.75" customHeight="1" x14ac:dyDescent="0.3">
      <c r="A1722" s="2" t="s">
        <v>3477</v>
      </c>
      <c r="B1722" s="2" t="s">
        <v>13</v>
      </c>
      <c r="C1722" s="3" t="str">
        <f>HYPERLINK("https://springer.com/40334")</f>
        <v>https://springer.com/40334</v>
      </c>
      <c r="D1722" s="2" t="s">
        <v>3478</v>
      </c>
      <c r="E1722" s="2"/>
    </row>
    <row r="1723" spans="1:5" ht="12.75" customHeight="1" x14ac:dyDescent="0.3">
      <c r="A1723" s="2" t="s">
        <v>3479</v>
      </c>
      <c r="B1723" s="2" t="s">
        <v>78</v>
      </c>
      <c r="C1723" s="3" t="str">
        <f>HYPERLINK("https://springer.com/40336")</f>
        <v>https://springer.com/40336</v>
      </c>
      <c r="D1723" s="2" t="s">
        <v>3480</v>
      </c>
      <c r="E1723" s="2" t="s">
        <v>8</v>
      </c>
    </row>
    <row r="1724" spans="1:5" ht="12.75" customHeight="1" x14ac:dyDescent="0.3">
      <c r="A1724" s="2" t="s">
        <v>3481</v>
      </c>
      <c r="B1724" s="2" t="s">
        <v>82</v>
      </c>
      <c r="C1724" s="3" t="str">
        <f>HYPERLINK("https://springer.com/40368")</f>
        <v>https://springer.com/40368</v>
      </c>
      <c r="D1724" s="2" t="s">
        <v>3482</v>
      </c>
      <c r="E1724" s="2" t="s">
        <v>8</v>
      </c>
    </row>
    <row r="1725" spans="1:5" ht="12.75" customHeight="1" x14ac:dyDescent="0.3">
      <c r="A1725" s="2" t="s">
        <v>3483</v>
      </c>
      <c r="B1725" s="2" t="s">
        <v>6</v>
      </c>
      <c r="C1725" s="3" t="str">
        <f>HYPERLINK("https://springer.com/40415")</f>
        <v>https://springer.com/40415</v>
      </c>
      <c r="D1725" s="2" t="s">
        <v>3484</v>
      </c>
      <c r="E1725" s="2" t="s">
        <v>8</v>
      </c>
    </row>
    <row r="1726" spans="1:5" ht="12.75" customHeight="1" x14ac:dyDescent="0.3">
      <c r="A1726" s="2" t="s">
        <v>3485</v>
      </c>
      <c r="B1726" s="2" t="s">
        <v>78</v>
      </c>
      <c r="C1726" s="3" t="str">
        <f>HYPERLINK("https://springer.com/40429")</f>
        <v>https://springer.com/40429</v>
      </c>
      <c r="D1726" s="2" t="s">
        <v>3486</v>
      </c>
      <c r="E1726" s="2" t="s">
        <v>8</v>
      </c>
    </row>
    <row r="1727" spans="1:5" ht="12.75" customHeight="1" x14ac:dyDescent="0.3">
      <c r="A1727" s="2" t="s">
        <v>3487</v>
      </c>
      <c r="B1727" s="2" t="s">
        <v>56</v>
      </c>
      <c r="C1727" s="3" t="str">
        <f>HYPERLINK("https://springer.com/40430")</f>
        <v>https://springer.com/40430</v>
      </c>
      <c r="D1727" s="2" t="s">
        <v>3488</v>
      </c>
      <c r="E1727" s="2" t="s">
        <v>8</v>
      </c>
    </row>
    <row r="1728" spans="1:5" ht="12.75" customHeight="1" x14ac:dyDescent="0.3">
      <c r="A1728" s="2" t="s">
        <v>3489</v>
      </c>
      <c r="B1728" s="2" t="s">
        <v>56</v>
      </c>
      <c r="C1728" s="3" t="str">
        <f>HYPERLINK("https://springer.com/40435")</f>
        <v>https://springer.com/40435</v>
      </c>
      <c r="D1728" s="2" t="s">
        <v>3490</v>
      </c>
      <c r="E1728" s="2" t="s">
        <v>8</v>
      </c>
    </row>
    <row r="1729" spans="1:5" ht="12.75" customHeight="1" x14ac:dyDescent="0.3">
      <c r="A1729" s="2" t="s">
        <v>3491</v>
      </c>
      <c r="B1729" s="2" t="s">
        <v>56</v>
      </c>
      <c r="C1729" s="3" t="str">
        <f>HYPERLINK("https://springer.com/40436")</f>
        <v>https://springer.com/40436</v>
      </c>
      <c r="D1729" s="2" t="s">
        <v>3492</v>
      </c>
      <c r="E1729" s="2" t="s">
        <v>8</v>
      </c>
    </row>
    <row r="1730" spans="1:5" ht="12.75" customHeight="1" x14ac:dyDescent="0.3">
      <c r="A1730" s="2" t="s">
        <v>3493</v>
      </c>
      <c r="B1730" s="2" t="s">
        <v>78</v>
      </c>
      <c r="C1730" s="3" t="str">
        <f>HYPERLINK("https://springer.com/40471")</f>
        <v>https://springer.com/40471</v>
      </c>
      <c r="D1730" s="2" t="s">
        <v>3494</v>
      </c>
      <c r="E1730" s="2" t="s">
        <v>8</v>
      </c>
    </row>
    <row r="1731" spans="1:5" ht="12.75" customHeight="1" x14ac:dyDescent="0.3">
      <c r="A1731" s="2" t="s">
        <v>3495</v>
      </c>
      <c r="B1731" s="2" t="s">
        <v>78</v>
      </c>
      <c r="C1731" s="3" t="str">
        <f>HYPERLINK("https://springer.com/40472")</f>
        <v>https://springer.com/40472</v>
      </c>
      <c r="D1731" s="2" t="s">
        <v>3496</v>
      </c>
      <c r="E1731" s="2" t="s">
        <v>8</v>
      </c>
    </row>
    <row r="1732" spans="1:5" ht="12.75" customHeight="1" x14ac:dyDescent="0.3">
      <c r="A1732" s="2" t="s">
        <v>3497</v>
      </c>
      <c r="B1732" s="2" t="s">
        <v>78</v>
      </c>
      <c r="C1732" s="3" t="str">
        <f>HYPERLINK("https://springer.com/40473")</f>
        <v>https://springer.com/40473</v>
      </c>
      <c r="D1732" s="2" t="s">
        <v>3498</v>
      </c>
      <c r="E1732" s="2" t="s">
        <v>8</v>
      </c>
    </row>
    <row r="1733" spans="1:5" ht="12.75" customHeight="1" x14ac:dyDescent="0.3">
      <c r="A1733" s="2" t="s">
        <v>3499</v>
      </c>
      <c r="B1733" s="2" t="s">
        <v>78</v>
      </c>
      <c r="C1733" s="3" t="str">
        <f>HYPERLINK("https://springer.com/40474")</f>
        <v>https://springer.com/40474</v>
      </c>
      <c r="D1733" s="2" t="s">
        <v>3500</v>
      </c>
      <c r="E1733" s="2" t="s">
        <v>8</v>
      </c>
    </row>
    <row r="1734" spans="1:5" ht="12.75" customHeight="1" x14ac:dyDescent="0.3">
      <c r="A1734" s="2" t="s">
        <v>3501</v>
      </c>
      <c r="B1734" s="2" t="s">
        <v>78</v>
      </c>
      <c r="C1734" s="3" t="str">
        <f>HYPERLINK("https://springer.com/40475")</f>
        <v>https://springer.com/40475</v>
      </c>
      <c r="D1734" s="2" t="s">
        <v>3502</v>
      </c>
      <c r="E1734" s="2" t="s">
        <v>8</v>
      </c>
    </row>
    <row r="1735" spans="1:5" ht="12.75" customHeight="1" x14ac:dyDescent="0.3">
      <c r="A1735" s="2" t="s">
        <v>3503</v>
      </c>
      <c r="B1735" s="2" t="s">
        <v>78</v>
      </c>
      <c r="C1735" s="3" t="str">
        <f>HYPERLINK("https://springer.com/40477")</f>
        <v>https://springer.com/40477</v>
      </c>
      <c r="D1735" s="2" t="s">
        <v>3504</v>
      </c>
      <c r="E1735" s="2" t="s">
        <v>8</v>
      </c>
    </row>
    <row r="1736" spans="1:5" ht="12.75" customHeight="1" x14ac:dyDescent="0.3">
      <c r="A1736" s="2" t="s">
        <v>3505</v>
      </c>
      <c r="B1736" s="2" t="s">
        <v>443</v>
      </c>
      <c r="C1736" s="3" t="str">
        <f>HYPERLINK("https://springer.com/40489")</f>
        <v>https://springer.com/40489</v>
      </c>
      <c r="D1736" s="2" t="s">
        <v>3506</v>
      </c>
      <c r="E1736" s="2" t="s">
        <v>8</v>
      </c>
    </row>
    <row r="1737" spans="1:5" ht="12.75" customHeight="1" x14ac:dyDescent="0.3">
      <c r="A1737" s="2" t="s">
        <v>3507</v>
      </c>
      <c r="B1737" s="2" t="s">
        <v>20</v>
      </c>
      <c r="C1737" s="3" t="str">
        <f>HYPERLINK("https://springer.com/40495")</f>
        <v>https://springer.com/40495</v>
      </c>
      <c r="D1737" s="2" t="s">
        <v>3508</v>
      </c>
      <c r="E1737" s="2" t="s">
        <v>8</v>
      </c>
    </row>
    <row r="1738" spans="1:5" ht="12.75" customHeight="1" x14ac:dyDescent="0.3">
      <c r="A1738" s="2" t="s">
        <v>3509</v>
      </c>
      <c r="B1738" s="2" t="s">
        <v>78</v>
      </c>
      <c r="C1738" s="3" t="str">
        <f>HYPERLINK("https://springer.com/40496")</f>
        <v>https://springer.com/40496</v>
      </c>
      <c r="D1738" s="2" t="s">
        <v>3510</v>
      </c>
      <c r="E1738" s="2" t="s">
        <v>8</v>
      </c>
    </row>
    <row r="1739" spans="1:5" ht="12.75" customHeight="1" x14ac:dyDescent="0.3">
      <c r="A1739" s="2" t="s">
        <v>3511</v>
      </c>
      <c r="B1739" s="2" t="s">
        <v>181</v>
      </c>
      <c r="C1739" s="3" t="str">
        <f>HYPERLINK("https://springer.com/40497")</f>
        <v>https://springer.com/40497</v>
      </c>
      <c r="D1739" s="2" t="s">
        <v>3512</v>
      </c>
      <c r="E1739" s="2" t="s">
        <v>8</v>
      </c>
    </row>
    <row r="1740" spans="1:5" ht="12.75" customHeight="1" x14ac:dyDescent="0.3">
      <c r="A1740" s="2" t="s">
        <v>3513</v>
      </c>
      <c r="B1740" s="2" t="s">
        <v>78</v>
      </c>
      <c r="C1740" s="3" t="str">
        <f>HYPERLINK("https://springer.com/40501")</f>
        <v>https://springer.com/40501</v>
      </c>
      <c r="D1740" s="2" t="s">
        <v>3514</v>
      </c>
      <c r="E1740" s="2" t="s">
        <v>8</v>
      </c>
    </row>
    <row r="1741" spans="1:5" ht="12.75" customHeight="1" x14ac:dyDescent="0.3">
      <c r="A1741" s="2" t="s">
        <v>3515</v>
      </c>
      <c r="B1741" s="2" t="s">
        <v>6</v>
      </c>
      <c r="C1741" s="3" t="str">
        <f>HYPERLINK("https://springer.com/40502")</f>
        <v>https://springer.com/40502</v>
      </c>
      <c r="D1741" s="2" t="s">
        <v>3516</v>
      </c>
      <c r="E1741" s="2" t="s">
        <v>8</v>
      </c>
    </row>
    <row r="1742" spans="1:5" ht="12.75" customHeight="1" x14ac:dyDescent="0.3">
      <c r="A1742" s="2" t="s">
        <v>3517</v>
      </c>
      <c r="B1742" s="2" t="s">
        <v>151</v>
      </c>
      <c r="C1742" s="3" t="str">
        <f>HYPERLINK("https://springer.com/40505")</f>
        <v>https://springer.com/40505</v>
      </c>
      <c r="D1742" s="2" t="s">
        <v>3518</v>
      </c>
      <c r="E1742" s="2" t="s">
        <v>8</v>
      </c>
    </row>
    <row r="1743" spans="1:5" ht="12.75" customHeight="1" x14ac:dyDescent="0.3">
      <c r="A1743" s="2" t="s">
        <v>3519</v>
      </c>
      <c r="B1743" s="2" t="s">
        <v>78</v>
      </c>
      <c r="C1743" s="3" t="str">
        <f>HYPERLINK("https://springer.com/40506")</f>
        <v>https://springer.com/40506</v>
      </c>
      <c r="D1743" s="2" t="s">
        <v>3520</v>
      </c>
      <c r="E1743" s="2" t="s">
        <v>8</v>
      </c>
    </row>
    <row r="1744" spans="1:5" ht="12.75" customHeight="1" x14ac:dyDescent="0.3">
      <c r="A1744" s="2" t="s">
        <v>3521</v>
      </c>
      <c r="B1744" s="2" t="s">
        <v>10</v>
      </c>
      <c r="C1744" s="3" t="str">
        <f>HYPERLINK("https://springer.com/40509")</f>
        <v>https://springer.com/40509</v>
      </c>
      <c r="D1744" s="2" t="s">
        <v>3522</v>
      </c>
      <c r="E1744" s="2" t="s">
        <v>8</v>
      </c>
    </row>
    <row r="1745" spans="1:5" ht="12.75" customHeight="1" x14ac:dyDescent="0.3">
      <c r="A1745" s="2" t="s">
        <v>3523</v>
      </c>
      <c r="B1745" s="2" t="s">
        <v>56</v>
      </c>
      <c r="C1745" s="3" t="str">
        <f>HYPERLINK("https://springer.com/40515")</f>
        <v>https://springer.com/40515</v>
      </c>
      <c r="D1745" s="2" t="s">
        <v>3524</v>
      </c>
      <c r="E1745" s="2" t="s">
        <v>8</v>
      </c>
    </row>
    <row r="1746" spans="1:5" ht="12.75" customHeight="1" x14ac:dyDescent="0.3">
      <c r="A1746" s="2" t="s">
        <v>3525</v>
      </c>
      <c r="B1746" s="2" t="s">
        <v>56</v>
      </c>
      <c r="C1746" s="3" t="str">
        <f>HYPERLINK("https://springer.com/40516")</f>
        <v>https://springer.com/40516</v>
      </c>
      <c r="D1746" s="2" t="s">
        <v>3526</v>
      </c>
      <c r="E1746" s="2" t="s">
        <v>8</v>
      </c>
    </row>
    <row r="1747" spans="1:5" ht="12.75" customHeight="1" x14ac:dyDescent="0.3">
      <c r="A1747" s="2" t="s">
        <v>3527</v>
      </c>
      <c r="B1747" s="2" t="s">
        <v>1272</v>
      </c>
      <c r="C1747" s="3" t="str">
        <f>HYPERLINK("https://springer.com/40518")</f>
        <v>https://springer.com/40518</v>
      </c>
      <c r="D1747" s="2" t="s">
        <v>3528</v>
      </c>
      <c r="E1747" s="2" t="s">
        <v>8</v>
      </c>
    </row>
    <row r="1748" spans="1:5" ht="12.75" customHeight="1" x14ac:dyDescent="0.3">
      <c r="A1748" s="2" t="s">
        <v>3529</v>
      </c>
      <c r="B1748" s="2" t="s">
        <v>78</v>
      </c>
      <c r="C1748" s="3" t="str">
        <f>HYPERLINK("https://springer.com/40521")</f>
        <v>https://springer.com/40521</v>
      </c>
      <c r="D1748" s="2" t="s">
        <v>3530</v>
      </c>
      <c r="E1748" s="2" t="s">
        <v>8</v>
      </c>
    </row>
    <row r="1749" spans="1:5" ht="12.75" customHeight="1" x14ac:dyDescent="0.3">
      <c r="A1749" s="2" t="s">
        <v>3531</v>
      </c>
      <c r="B1749" s="2" t="s">
        <v>181</v>
      </c>
      <c r="C1749" s="3" t="str">
        <f>HYPERLINK("https://springer.com/40547")</f>
        <v>https://springer.com/40547</v>
      </c>
      <c r="D1749" s="2" t="s">
        <v>3532</v>
      </c>
      <c r="E1749" s="2" t="s">
        <v>8</v>
      </c>
    </row>
    <row r="1750" spans="1:5" ht="12.75" customHeight="1" x14ac:dyDescent="0.3">
      <c r="A1750" s="2" t="s">
        <v>3533</v>
      </c>
      <c r="B1750" s="2" t="s">
        <v>181</v>
      </c>
      <c r="C1750" s="3" t="str">
        <f>HYPERLINK("https://springer.com/40558")</f>
        <v>https://springer.com/40558</v>
      </c>
      <c r="D1750" s="2" t="s">
        <v>3534</v>
      </c>
      <c r="E1750" s="2" t="s">
        <v>8</v>
      </c>
    </row>
    <row r="1751" spans="1:5" ht="12.75" customHeight="1" x14ac:dyDescent="0.3">
      <c r="A1751" s="2" t="s">
        <v>3535</v>
      </c>
      <c r="B1751" s="2" t="s">
        <v>56</v>
      </c>
      <c r="C1751" s="3" t="str">
        <f>HYPERLINK("https://springer.com/40571")</f>
        <v>https://springer.com/40571</v>
      </c>
      <c r="D1751" s="2" t="s">
        <v>3536</v>
      </c>
      <c r="E1751" s="2" t="s">
        <v>8</v>
      </c>
    </row>
    <row r="1752" spans="1:5" ht="12.75" customHeight="1" x14ac:dyDescent="0.3">
      <c r="A1752" s="2" t="s">
        <v>3537</v>
      </c>
      <c r="B1752" s="2" t="s">
        <v>20</v>
      </c>
      <c r="C1752" s="3" t="str">
        <f>HYPERLINK("https://springer.com/40572")</f>
        <v>https://springer.com/40572</v>
      </c>
      <c r="D1752" s="2" t="s">
        <v>3538</v>
      </c>
      <c r="E1752" s="2" t="s">
        <v>8</v>
      </c>
    </row>
    <row r="1753" spans="1:5" ht="12.75" customHeight="1" x14ac:dyDescent="0.3">
      <c r="A1753" s="2" t="s">
        <v>3539</v>
      </c>
      <c r="B1753" s="2" t="s">
        <v>753</v>
      </c>
      <c r="C1753" s="3" t="str">
        <f>HYPERLINK("https://springer.com/40573")</f>
        <v>https://springer.com/40573</v>
      </c>
      <c r="D1753" s="2" t="s">
        <v>3540</v>
      </c>
      <c r="E1753" s="2" t="s">
        <v>8</v>
      </c>
    </row>
    <row r="1754" spans="1:5" ht="12.75" customHeight="1" x14ac:dyDescent="0.3">
      <c r="A1754" s="2" t="s">
        <v>3541</v>
      </c>
      <c r="B1754" s="2" t="s">
        <v>10</v>
      </c>
      <c r="C1754" s="3" t="str">
        <f>HYPERLINK("https://springer.com/40574")</f>
        <v>https://springer.com/40574</v>
      </c>
      <c r="D1754" s="2" t="s">
        <v>3542</v>
      </c>
      <c r="E1754" s="2" t="s">
        <v>8</v>
      </c>
    </row>
    <row r="1755" spans="1:5" ht="12.75" customHeight="1" x14ac:dyDescent="0.3">
      <c r="A1755" s="2" t="s">
        <v>3543</v>
      </c>
      <c r="B1755" s="2" t="s">
        <v>20</v>
      </c>
      <c r="C1755" s="3" t="str">
        <f>HYPERLINK("https://springer.com/40588")</f>
        <v>https://springer.com/40588</v>
      </c>
      <c r="D1755" s="2" t="s">
        <v>3544</v>
      </c>
      <c r="E1755" s="2" t="s">
        <v>8</v>
      </c>
    </row>
    <row r="1756" spans="1:5" ht="12.75" customHeight="1" x14ac:dyDescent="0.3">
      <c r="A1756" s="2" t="s">
        <v>3545</v>
      </c>
      <c r="B1756" s="2" t="s">
        <v>10</v>
      </c>
      <c r="C1756" s="3" t="str">
        <f>HYPERLINK("https://springer.com/40590")</f>
        <v>https://springer.com/40590</v>
      </c>
      <c r="D1756" s="2" t="s">
        <v>3546</v>
      </c>
      <c r="E1756" s="2" t="s">
        <v>8</v>
      </c>
    </row>
    <row r="1757" spans="1:5" ht="12.75" customHeight="1" x14ac:dyDescent="0.3">
      <c r="A1757" s="2" t="s">
        <v>3547</v>
      </c>
      <c r="B1757" s="2" t="s">
        <v>868</v>
      </c>
      <c r="C1757" s="3" t="str">
        <f>HYPERLINK("https://springer.com/40592")</f>
        <v>https://springer.com/40592</v>
      </c>
      <c r="D1757" s="2" t="s">
        <v>3548</v>
      </c>
      <c r="E1757" s="2" t="s">
        <v>8</v>
      </c>
    </row>
    <row r="1758" spans="1:5" ht="12.75" customHeight="1" x14ac:dyDescent="0.3">
      <c r="A1758" s="2" t="s">
        <v>3549</v>
      </c>
      <c r="B1758" s="2" t="s">
        <v>63</v>
      </c>
      <c r="C1758" s="3" t="str">
        <f>HYPERLINK("https://springer.com/40593")</f>
        <v>https://springer.com/40593</v>
      </c>
      <c r="D1758" s="2" t="s">
        <v>3550</v>
      </c>
      <c r="E1758" s="2" t="s">
        <v>8</v>
      </c>
    </row>
    <row r="1759" spans="1:5" ht="12.75" customHeight="1" x14ac:dyDescent="0.3">
      <c r="A1759" s="2" t="s">
        <v>3551</v>
      </c>
      <c r="B1759" s="2" t="s">
        <v>78</v>
      </c>
      <c r="C1759" s="3" t="str">
        <f>HYPERLINK("https://springer.com/40596")</f>
        <v>https://springer.com/40596</v>
      </c>
      <c r="D1759" s="2" t="s">
        <v>3552</v>
      </c>
      <c r="E1759" s="2" t="s">
        <v>8</v>
      </c>
    </row>
    <row r="1760" spans="1:5" ht="12.75" customHeight="1" x14ac:dyDescent="0.3">
      <c r="A1760" s="2" t="s">
        <v>3553</v>
      </c>
      <c r="B1760" s="2" t="s">
        <v>794</v>
      </c>
      <c r="C1760" s="3" t="str">
        <f>HYPERLINK("https://springer.com/40609")</f>
        <v>https://springer.com/40609</v>
      </c>
      <c r="D1760" s="2" t="s">
        <v>3554</v>
      </c>
      <c r="E1760" s="2" t="s">
        <v>8</v>
      </c>
    </row>
    <row r="1761" spans="1:5" ht="12.75" customHeight="1" x14ac:dyDescent="0.3">
      <c r="A1761" s="2" t="s">
        <v>3555</v>
      </c>
      <c r="B1761" s="2" t="s">
        <v>20</v>
      </c>
      <c r="C1761" s="3" t="str">
        <f>HYPERLINK("https://springer.com/40610")</f>
        <v>https://springer.com/40610</v>
      </c>
      <c r="D1761" s="2" t="s">
        <v>3556</v>
      </c>
      <c r="E1761" s="2" t="s">
        <v>8</v>
      </c>
    </row>
    <row r="1762" spans="1:5" ht="12.75" customHeight="1" x14ac:dyDescent="0.3">
      <c r="A1762" s="2" t="s">
        <v>3557</v>
      </c>
      <c r="B1762" s="2" t="s">
        <v>443</v>
      </c>
      <c r="C1762" s="3" t="str">
        <f>HYPERLINK("https://springer.com/40614")</f>
        <v>https://springer.com/40614</v>
      </c>
      <c r="D1762" s="2" t="s">
        <v>3558</v>
      </c>
      <c r="E1762" s="2" t="s">
        <v>8</v>
      </c>
    </row>
    <row r="1763" spans="1:5" ht="12.75" customHeight="1" x14ac:dyDescent="0.3">
      <c r="A1763" s="2" t="s">
        <v>3559</v>
      </c>
      <c r="B1763" s="2" t="s">
        <v>78</v>
      </c>
      <c r="C1763" s="3" t="str">
        <f>HYPERLINK("https://springer.com/40615")</f>
        <v>https://springer.com/40615</v>
      </c>
      <c r="D1763" s="2" t="s">
        <v>3560</v>
      </c>
      <c r="E1763" s="2" t="s">
        <v>8</v>
      </c>
    </row>
    <row r="1764" spans="1:5" ht="12.75" customHeight="1" x14ac:dyDescent="0.3">
      <c r="A1764" s="2" t="s">
        <v>3561</v>
      </c>
      <c r="B1764" s="2" t="s">
        <v>443</v>
      </c>
      <c r="C1764" s="3" t="str">
        <f>HYPERLINK("https://springer.com/40616")</f>
        <v>https://springer.com/40616</v>
      </c>
      <c r="D1764" s="2" t="s">
        <v>3562</v>
      </c>
      <c r="E1764" s="2" t="s">
        <v>8</v>
      </c>
    </row>
    <row r="1765" spans="1:5" ht="12.75" customHeight="1" x14ac:dyDescent="0.3">
      <c r="A1765" s="2" t="s">
        <v>3563</v>
      </c>
      <c r="B1765" s="2" t="s">
        <v>443</v>
      </c>
      <c r="C1765" s="3" t="str">
        <f>HYPERLINK("https://springer.com/40617")</f>
        <v>https://springer.com/40617</v>
      </c>
      <c r="D1765" s="2" t="s">
        <v>3564</v>
      </c>
      <c r="E1765" s="2" t="s">
        <v>8</v>
      </c>
    </row>
    <row r="1766" spans="1:5" ht="12.75" customHeight="1" x14ac:dyDescent="0.3">
      <c r="A1766" s="2" t="s">
        <v>3565</v>
      </c>
      <c r="B1766" s="2" t="s">
        <v>78</v>
      </c>
      <c r="C1766" s="3" t="str">
        <f>HYPERLINK("https://springer.com/40618")</f>
        <v>https://springer.com/40618</v>
      </c>
      <c r="D1766" s="2" t="s">
        <v>3566</v>
      </c>
      <c r="E1766" s="2" t="s">
        <v>8</v>
      </c>
    </row>
    <row r="1767" spans="1:5" ht="12.75" customHeight="1" x14ac:dyDescent="0.3">
      <c r="A1767" s="2" t="s">
        <v>3567</v>
      </c>
      <c r="B1767" s="2" t="s">
        <v>78</v>
      </c>
      <c r="C1767" s="3" t="str">
        <f>HYPERLINK("https://springer.com/40619")</f>
        <v>https://springer.com/40619</v>
      </c>
      <c r="D1767" s="2" t="s">
        <v>3568</v>
      </c>
      <c r="E1767" s="2" t="s">
        <v>8</v>
      </c>
    </row>
    <row r="1768" spans="1:5" ht="12.75" customHeight="1" x14ac:dyDescent="0.3">
      <c r="A1768" s="2" t="s">
        <v>3569</v>
      </c>
      <c r="B1768" s="2" t="s">
        <v>78</v>
      </c>
      <c r="C1768" s="3" t="str">
        <f>HYPERLINK("https://springer.com/40620")</f>
        <v>https://springer.com/40620</v>
      </c>
      <c r="D1768" s="2" t="s">
        <v>3570</v>
      </c>
      <c r="E1768" s="2" t="s">
        <v>8</v>
      </c>
    </row>
    <row r="1769" spans="1:5" ht="12.75" customHeight="1" x14ac:dyDescent="0.3">
      <c r="A1769" s="2" t="s">
        <v>3571</v>
      </c>
      <c r="B1769" s="2" t="s">
        <v>181</v>
      </c>
      <c r="C1769" s="3" t="str">
        <f>HYPERLINK("https://springer.com/40622")</f>
        <v>https://springer.com/40622</v>
      </c>
      <c r="D1769" s="2" t="s">
        <v>3572</v>
      </c>
      <c r="E1769" s="2" t="s">
        <v>8</v>
      </c>
    </row>
    <row r="1770" spans="1:5" ht="12.75" customHeight="1" x14ac:dyDescent="0.3">
      <c r="A1770" s="2" t="s">
        <v>3573</v>
      </c>
      <c r="B1770" s="2" t="s">
        <v>6</v>
      </c>
      <c r="C1770" s="3" t="str">
        <f>HYPERLINK("https://springer.com/40626")</f>
        <v>https://springer.com/40626</v>
      </c>
      <c r="D1770" s="2" t="s">
        <v>3574</v>
      </c>
      <c r="E1770" s="2" t="s">
        <v>8</v>
      </c>
    </row>
    <row r="1771" spans="1:5" ht="12.75" customHeight="1" x14ac:dyDescent="0.3">
      <c r="A1771" s="2" t="s">
        <v>3575</v>
      </c>
      <c r="B1771" s="2" t="s">
        <v>10</v>
      </c>
      <c r="C1771" s="3" t="str">
        <f>HYPERLINK("https://springer.com/40627")</f>
        <v>https://springer.com/40627</v>
      </c>
      <c r="D1771" s="2" t="s">
        <v>3576</v>
      </c>
      <c r="E1771" s="2" t="s">
        <v>8</v>
      </c>
    </row>
    <row r="1772" spans="1:5" ht="12.75" customHeight="1" x14ac:dyDescent="0.3">
      <c r="A1772" s="2" t="s">
        <v>3577</v>
      </c>
      <c r="B1772" s="2" t="s">
        <v>78</v>
      </c>
      <c r="C1772" s="3" t="str">
        <f>HYPERLINK("https://springer.com/40629")</f>
        <v>https://springer.com/40629</v>
      </c>
      <c r="D1772" s="2" t="s">
        <v>3578</v>
      </c>
      <c r="E1772" s="2" t="s">
        <v>8</v>
      </c>
    </row>
    <row r="1773" spans="1:5" ht="12.75" customHeight="1" x14ac:dyDescent="0.3">
      <c r="A1773" s="2" t="s">
        <v>3579</v>
      </c>
      <c r="B1773" s="2" t="s">
        <v>794</v>
      </c>
      <c r="C1773" s="3" t="str">
        <f>HYPERLINK("https://springer.com/40636")</f>
        <v>https://springer.com/40636</v>
      </c>
      <c r="D1773" s="2" t="s">
        <v>3580</v>
      </c>
      <c r="E1773" s="2" t="s">
        <v>8</v>
      </c>
    </row>
    <row r="1774" spans="1:5" ht="12.75" customHeight="1" x14ac:dyDescent="0.3">
      <c r="A1774" s="2" t="s">
        <v>3581</v>
      </c>
      <c r="B1774" s="2" t="s">
        <v>133</v>
      </c>
      <c r="C1774" s="3" t="str">
        <f>HYPERLINK("https://springer.com/40641")</f>
        <v>https://springer.com/40641</v>
      </c>
      <c r="D1774" s="2" t="s">
        <v>3582</v>
      </c>
      <c r="E1774" s="2" t="s">
        <v>8</v>
      </c>
    </row>
    <row r="1775" spans="1:5" ht="12.75" customHeight="1" x14ac:dyDescent="0.3">
      <c r="A1775" s="2" t="s">
        <v>3583</v>
      </c>
      <c r="B1775" s="2" t="s">
        <v>794</v>
      </c>
      <c r="C1775" s="3" t="str">
        <f>HYPERLINK("https://springer.com/40647")</f>
        <v>https://springer.com/40647</v>
      </c>
      <c r="D1775" s="2" t="s">
        <v>3584</v>
      </c>
      <c r="E1775" s="2" t="s">
        <v>8</v>
      </c>
    </row>
    <row r="1776" spans="1:5" ht="12.75" customHeight="1" x14ac:dyDescent="0.3">
      <c r="A1776" s="2" t="s">
        <v>3585</v>
      </c>
      <c r="B1776" s="2" t="s">
        <v>443</v>
      </c>
      <c r="C1776" s="3" t="str">
        <f>HYPERLINK("https://springer.com/40653")</f>
        <v>https://springer.com/40653</v>
      </c>
      <c r="D1776" s="2" t="s">
        <v>3586</v>
      </c>
      <c r="E1776" s="2" t="s">
        <v>8</v>
      </c>
    </row>
    <row r="1777" spans="1:5" ht="12.75" customHeight="1" x14ac:dyDescent="0.3">
      <c r="A1777" s="2" t="s">
        <v>3587</v>
      </c>
      <c r="B1777" s="2" t="s">
        <v>868</v>
      </c>
      <c r="C1777" s="3" t="str">
        <f>HYPERLINK("https://springer.com/40656")</f>
        <v>https://springer.com/40656</v>
      </c>
      <c r="D1777" s="2" t="s">
        <v>3588</v>
      </c>
      <c r="E1777" s="2" t="s">
        <v>8</v>
      </c>
    </row>
    <row r="1778" spans="1:5" ht="12.75" customHeight="1" x14ac:dyDescent="0.3">
      <c r="A1778" s="2" t="s">
        <v>3589</v>
      </c>
      <c r="B1778" s="2" t="s">
        <v>78</v>
      </c>
      <c r="C1778" s="3" t="str">
        <f>HYPERLINK("https://springer.com/40664")</f>
        <v>https://springer.com/40664</v>
      </c>
      <c r="D1778" s="2" t="s">
        <v>3590</v>
      </c>
      <c r="E1778" s="2" t="s">
        <v>8</v>
      </c>
    </row>
    <row r="1779" spans="1:5" ht="12.75" customHeight="1" x14ac:dyDescent="0.3">
      <c r="A1779" s="2" t="s">
        <v>3591</v>
      </c>
      <c r="B1779" s="2" t="s">
        <v>753</v>
      </c>
      <c r="C1779" s="3" t="str">
        <f>HYPERLINK("https://springer.com/40670")</f>
        <v>https://springer.com/40670</v>
      </c>
      <c r="D1779" s="2" t="s">
        <v>3592</v>
      </c>
      <c r="E1779" s="2" t="s">
        <v>8</v>
      </c>
    </row>
    <row r="1780" spans="1:5" ht="12.75" customHeight="1" x14ac:dyDescent="0.3">
      <c r="A1780" s="2" t="s">
        <v>3593</v>
      </c>
      <c r="B1780" s="2" t="s">
        <v>78</v>
      </c>
      <c r="C1780" s="3" t="str">
        <f>HYPERLINK("https://springer.com/40674")</f>
        <v>https://springer.com/40674</v>
      </c>
      <c r="D1780" s="2" t="s">
        <v>3594</v>
      </c>
      <c r="E1780" s="2" t="s">
        <v>8</v>
      </c>
    </row>
    <row r="1781" spans="1:5" ht="12.75" customHeight="1" x14ac:dyDescent="0.3">
      <c r="A1781" s="2" t="s">
        <v>3595</v>
      </c>
      <c r="B1781" s="2" t="s">
        <v>78</v>
      </c>
      <c r="C1781" s="3" t="str">
        <f>HYPERLINK("https://springer.com/40675")</f>
        <v>https://springer.com/40675</v>
      </c>
      <c r="D1781" s="2" t="s">
        <v>3596</v>
      </c>
      <c r="E1781" s="2" t="s">
        <v>8</v>
      </c>
    </row>
    <row r="1782" spans="1:5" ht="12.75" customHeight="1" x14ac:dyDescent="0.3">
      <c r="A1782" s="2" t="s">
        <v>3597</v>
      </c>
      <c r="B1782" s="2" t="s">
        <v>56</v>
      </c>
      <c r="C1782" s="3" t="str">
        <f>HYPERLINK("https://springer.com/40684")</f>
        <v>https://springer.com/40684</v>
      </c>
      <c r="D1782" s="2" t="s">
        <v>3598</v>
      </c>
      <c r="E1782" s="2" t="s">
        <v>8</v>
      </c>
    </row>
    <row r="1783" spans="1:5" ht="12.75" customHeight="1" x14ac:dyDescent="0.3">
      <c r="A1783" s="2" t="s">
        <v>3599</v>
      </c>
      <c r="B1783" s="2" t="s">
        <v>10</v>
      </c>
      <c r="C1783" s="3" t="str">
        <f>HYPERLINK("https://springer.com/40687")</f>
        <v>https://springer.com/40687</v>
      </c>
      <c r="D1783" s="2" t="s">
        <v>3600</v>
      </c>
      <c r="E1783" s="2" t="s">
        <v>8</v>
      </c>
    </row>
    <row r="1784" spans="1:5" ht="12.75" customHeight="1" x14ac:dyDescent="0.3">
      <c r="A1784" s="2" t="s">
        <v>3601</v>
      </c>
      <c r="B1784" s="2" t="s">
        <v>443</v>
      </c>
      <c r="C1784" s="3" t="str">
        <f>HYPERLINK("https://springer.com/40688")</f>
        <v>https://springer.com/40688</v>
      </c>
      <c r="D1784" s="2" t="s">
        <v>3602</v>
      </c>
      <c r="E1784" s="2" t="s">
        <v>8</v>
      </c>
    </row>
    <row r="1785" spans="1:5" ht="12.75" customHeight="1" x14ac:dyDescent="0.3">
      <c r="A1785" s="2" t="s">
        <v>3603</v>
      </c>
      <c r="B1785" s="2" t="s">
        <v>753</v>
      </c>
      <c r="C1785" s="3" t="str">
        <f>HYPERLINK("https://springer.com/40692")</f>
        <v>https://springer.com/40692</v>
      </c>
      <c r="D1785" s="2" t="s">
        <v>3604</v>
      </c>
      <c r="E1785" s="2" t="s">
        <v>8</v>
      </c>
    </row>
    <row r="1786" spans="1:5" ht="12.75" customHeight="1" x14ac:dyDescent="0.3">
      <c r="A1786" s="2" t="s">
        <v>3605</v>
      </c>
      <c r="B1786" s="2" t="s">
        <v>63</v>
      </c>
      <c r="C1786" s="3" t="str">
        <f>HYPERLINK("https://springer.com/40702")</f>
        <v>https://springer.com/40702</v>
      </c>
      <c r="D1786" s="2" t="s">
        <v>3606</v>
      </c>
      <c r="E1786" s="2" t="s">
        <v>8</v>
      </c>
    </row>
    <row r="1787" spans="1:5" ht="12.75" customHeight="1" x14ac:dyDescent="0.3">
      <c r="A1787" s="2" t="s">
        <v>3607</v>
      </c>
      <c r="B1787" s="2" t="s">
        <v>26</v>
      </c>
      <c r="C1787" s="3" t="str">
        <f>HYPERLINK("https://springer.com/40710")</f>
        <v>https://springer.com/40710</v>
      </c>
      <c r="D1787" s="2" t="s">
        <v>3608</v>
      </c>
      <c r="E1787" s="2" t="s">
        <v>8</v>
      </c>
    </row>
    <row r="1788" spans="1:5" ht="12.75" customHeight="1" x14ac:dyDescent="0.3">
      <c r="A1788" s="2" t="s">
        <v>3609</v>
      </c>
      <c r="B1788" s="2" t="s">
        <v>78</v>
      </c>
      <c r="C1788" s="3" t="str">
        <f>HYPERLINK("https://springer.com/40719")</f>
        <v>https://springer.com/40719</v>
      </c>
      <c r="D1788" s="2" t="s">
        <v>3610</v>
      </c>
      <c r="E1788" s="2" t="s">
        <v>8</v>
      </c>
    </row>
    <row r="1789" spans="1:5" ht="12.75" customHeight="1" x14ac:dyDescent="0.3">
      <c r="A1789" s="2" t="s">
        <v>3611</v>
      </c>
      <c r="B1789" s="2" t="s">
        <v>56</v>
      </c>
      <c r="C1789" s="3" t="str">
        <f>HYPERLINK("https://springer.com/40722")</f>
        <v>https://springer.com/40722</v>
      </c>
      <c r="D1789" s="2" t="s">
        <v>3612</v>
      </c>
      <c r="E1789" s="2" t="s">
        <v>8</v>
      </c>
    </row>
    <row r="1790" spans="1:5" ht="12.75" customHeight="1" x14ac:dyDescent="0.3">
      <c r="A1790" s="2" t="s">
        <v>3613</v>
      </c>
      <c r="B1790" s="2" t="s">
        <v>133</v>
      </c>
      <c r="C1790" s="3" t="str">
        <f>HYPERLINK("https://springer.com/40725")</f>
        <v>https://springer.com/40725</v>
      </c>
      <c r="D1790" s="2" t="s">
        <v>3614</v>
      </c>
      <c r="E1790" s="2" t="s">
        <v>8</v>
      </c>
    </row>
    <row r="1791" spans="1:5" ht="12.75" customHeight="1" x14ac:dyDescent="0.3">
      <c r="A1791" s="2" t="s">
        <v>3615</v>
      </c>
      <c r="B1791" s="2" t="s">
        <v>133</v>
      </c>
      <c r="C1791" s="3" t="str">
        <f>HYPERLINK("https://springer.com/40726")</f>
        <v>https://springer.com/40726</v>
      </c>
      <c r="D1791" s="2" t="s">
        <v>3616</v>
      </c>
      <c r="E1791" s="2" t="s">
        <v>8</v>
      </c>
    </row>
    <row r="1792" spans="1:5" ht="12.75" customHeight="1" x14ac:dyDescent="0.3">
      <c r="A1792" s="2" t="s">
        <v>3617</v>
      </c>
      <c r="B1792" s="2" t="s">
        <v>443</v>
      </c>
      <c r="C1792" s="3" t="str">
        <f>HYPERLINK("https://springer.com/40732")</f>
        <v>https://springer.com/40732</v>
      </c>
      <c r="D1792" s="2" t="s">
        <v>3618</v>
      </c>
      <c r="E1792" s="2" t="s">
        <v>8</v>
      </c>
    </row>
    <row r="1793" spans="1:5" ht="12.75" customHeight="1" x14ac:dyDescent="0.3">
      <c r="A1793" s="2" t="s">
        <v>3619</v>
      </c>
      <c r="B1793" s="2" t="s">
        <v>396</v>
      </c>
      <c r="C1793" s="3" t="str">
        <f>HYPERLINK("https://springer.com/40735")</f>
        <v>https://springer.com/40735</v>
      </c>
      <c r="D1793" s="2" t="s">
        <v>3620</v>
      </c>
      <c r="E1793" s="2" t="s">
        <v>8</v>
      </c>
    </row>
    <row r="1794" spans="1:5" ht="12.75" customHeight="1" x14ac:dyDescent="0.3">
      <c r="A1794" s="2" t="s">
        <v>3621</v>
      </c>
      <c r="B1794" s="2" t="s">
        <v>443</v>
      </c>
      <c r="C1794" s="3" t="str">
        <f>HYPERLINK("https://springer.com/40737")</f>
        <v>https://springer.com/40737</v>
      </c>
      <c r="D1794" s="2" t="s">
        <v>3622</v>
      </c>
      <c r="E1794" s="2" t="s">
        <v>8</v>
      </c>
    </row>
    <row r="1795" spans="1:5" ht="12.75" customHeight="1" x14ac:dyDescent="0.3">
      <c r="A1795" s="2" t="s">
        <v>3623</v>
      </c>
      <c r="B1795" s="2" t="s">
        <v>181</v>
      </c>
      <c r="C1795" s="3" t="str">
        <f>HYPERLINK("https://springer.com/40745")</f>
        <v>https://springer.com/40745</v>
      </c>
      <c r="D1795" s="2" t="s">
        <v>3624</v>
      </c>
      <c r="E1795" s="2" t="s">
        <v>8</v>
      </c>
    </row>
    <row r="1796" spans="1:5" ht="12.75" customHeight="1" x14ac:dyDescent="0.3">
      <c r="A1796" s="2" t="s">
        <v>3625</v>
      </c>
      <c r="B1796" s="2" t="s">
        <v>78</v>
      </c>
      <c r="C1796" s="3" t="str">
        <f>HYPERLINK("https://springer.com/40746")</f>
        <v>https://springer.com/40746</v>
      </c>
      <c r="D1796" s="2" t="s">
        <v>3626</v>
      </c>
      <c r="E1796" s="2" t="s">
        <v>8</v>
      </c>
    </row>
    <row r="1797" spans="1:5" ht="12.75" customHeight="1" x14ac:dyDescent="0.3">
      <c r="A1797" s="2" t="s">
        <v>3627</v>
      </c>
      <c r="B1797" s="2" t="s">
        <v>794</v>
      </c>
      <c r="C1797" s="3" t="str">
        <f>HYPERLINK("https://springer.com/40750")</f>
        <v>https://springer.com/40750</v>
      </c>
      <c r="D1797" s="2" t="s">
        <v>3628</v>
      </c>
      <c r="E1797" s="2" t="s">
        <v>8</v>
      </c>
    </row>
    <row r="1798" spans="1:5" ht="12.75" customHeight="1" x14ac:dyDescent="0.3">
      <c r="A1798" s="2" t="s">
        <v>3629</v>
      </c>
      <c r="B1798" s="2" t="s">
        <v>753</v>
      </c>
      <c r="C1798" s="3" t="str">
        <f>HYPERLINK("https://springer.com/40751")</f>
        <v>https://springer.com/40751</v>
      </c>
      <c r="D1798" s="2" t="s">
        <v>3630</v>
      </c>
      <c r="E1798" s="2" t="s">
        <v>8</v>
      </c>
    </row>
    <row r="1799" spans="1:5" ht="12.75" customHeight="1" x14ac:dyDescent="0.3">
      <c r="A1799" s="2" t="s">
        <v>3631</v>
      </c>
      <c r="B1799" s="2" t="s">
        <v>753</v>
      </c>
      <c r="C1799" s="3" t="str">
        <f>HYPERLINK("https://springer.com/40753")</f>
        <v>https://springer.com/40753</v>
      </c>
      <c r="D1799" s="2" t="s">
        <v>3632</v>
      </c>
      <c r="E1799" s="2" t="s">
        <v>8</v>
      </c>
    </row>
    <row r="1800" spans="1:5" ht="12.75" customHeight="1" x14ac:dyDescent="0.3">
      <c r="A1800" s="2" t="s">
        <v>3633</v>
      </c>
      <c r="B1800" s="2" t="s">
        <v>13</v>
      </c>
      <c r="C1800" s="3" t="str">
        <f>HYPERLINK("https://springer.com/40766")</f>
        <v>https://springer.com/40766</v>
      </c>
      <c r="D1800" s="2" t="s">
        <v>3634</v>
      </c>
      <c r="E1800" s="2" t="s">
        <v>8</v>
      </c>
    </row>
    <row r="1801" spans="1:5" ht="12.75" customHeight="1" x14ac:dyDescent="0.3">
      <c r="A1801" s="2" t="s">
        <v>3635</v>
      </c>
      <c r="B1801" s="2" t="s">
        <v>6</v>
      </c>
      <c r="C1801" s="3" t="str">
        <f>HYPERLINK("https://springer.com/40778")</f>
        <v>https://springer.com/40778</v>
      </c>
      <c r="D1801" s="2" t="s">
        <v>3636</v>
      </c>
      <c r="E1801" s="2" t="s">
        <v>8</v>
      </c>
    </row>
    <row r="1802" spans="1:5" ht="12.75" customHeight="1" x14ac:dyDescent="0.3">
      <c r="A1802" s="2" t="s">
        <v>3637</v>
      </c>
      <c r="B1802" s="2" t="s">
        <v>151</v>
      </c>
      <c r="C1802" s="3" t="str">
        <f>HYPERLINK("https://springer.com/40797")</f>
        <v>https://springer.com/40797</v>
      </c>
      <c r="D1802" s="2" t="s">
        <v>3638</v>
      </c>
      <c r="E1802" s="2" t="s">
        <v>8</v>
      </c>
    </row>
    <row r="1803" spans="1:5" ht="12.75" customHeight="1" x14ac:dyDescent="0.3">
      <c r="A1803" s="2" t="s">
        <v>3639</v>
      </c>
      <c r="B1803" s="2" t="s">
        <v>396</v>
      </c>
      <c r="C1803" s="3" t="str">
        <f>HYPERLINK("https://springer.com/40799")</f>
        <v>https://springer.com/40799</v>
      </c>
      <c r="D1803" s="2" t="s">
        <v>3640</v>
      </c>
      <c r="E1803" s="2" t="s">
        <v>8</v>
      </c>
    </row>
    <row r="1804" spans="1:5" ht="12.75" customHeight="1" x14ac:dyDescent="0.3">
      <c r="A1804" s="2" t="s">
        <v>3641</v>
      </c>
      <c r="B1804" s="2" t="s">
        <v>347</v>
      </c>
      <c r="C1804" s="3" t="str">
        <f>HYPERLINK("https://springer.com/40802")</f>
        <v>https://springer.com/40802</v>
      </c>
      <c r="D1804" s="2" t="s">
        <v>3642</v>
      </c>
      <c r="E1804" s="2" t="s">
        <v>8</v>
      </c>
    </row>
    <row r="1805" spans="1:5" ht="12.75" customHeight="1" x14ac:dyDescent="0.3">
      <c r="A1805" s="2" t="s">
        <v>3643</v>
      </c>
      <c r="B1805" s="2" t="s">
        <v>347</v>
      </c>
      <c r="C1805" s="3" t="str">
        <f>HYPERLINK("https://springer.com/40803")</f>
        <v>https://springer.com/40803</v>
      </c>
      <c r="D1805" s="2" t="s">
        <v>3644</v>
      </c>
      <c r="E1805" s="2" t="s">
        <v>8</v>
      </c>
    </row>
    <row r="1806" spans="1:5" ht="12.75" customHeight="1" x14ac:dyDescent="0.3">
      <c r="A1806" s="2" t="s">
        <v>3645</v>
      </c>
      <c r="B1806" s="2" t="s">
        <v>347</v>
      </c>
      <c r="C1806" s="3" t="str">
        <f>HYPERLINK("https://springer.com/40804")</f>
        <v>https://springer.com/40804</v>
      </c>
      <c r="D1806" s="2" t="s">
        <v>3646</v>
      </c>
      <c r="E1806" s="2" t="s">
        <v>8</v>
      </c>
    </row>
    <row r="1807" spans="1:5" ht="12.75" customHeight="1" x14ac:dyDescent="0.3">
      <c r="A1807" s="2" t="s">
        <v>3647</v>
      </c>
      <c r="B1807" s="2" t="s">
        <v>443</v>
      </c>
      <c r="C1807" s="3" t="str">
        <f>HYPERLINK("https://springer.com/40806")</f>
        <v>https://springer.com/40806</v>
      </c>
      <c r="D1807" s="2" t="s">
        <v>3648</v>
      </c>
      <c r="E1807" s="2" t="s">
        <v>8</v>
      </c>
    </row>
    <row r="1808" spans="1:5" ht="12.75" customHeight="1" x14ac:dyDescent="0.3">
      <c r="A1808" s="2" t="s">
        <v>3649</v>
      </c>
      <c r="B1808" s="2" t="s">
        <v>26</v>
      </c>
      <c r="C1808" s="3" t="str">
        <f>HYPERLINK("https://springer.com/40808")</f>
        <v>https://springer.com/40808</v>
      </c>
      <c r="D1808" s="2" t="s">
        <v>3650</v>
      </c>
      <c r="E1808" s="2" t="s">
        <v>8</v>
      </c>
    </row>
    <row r="1809" spans="1:5" ht="12.75" customHeight="1" x14ac:dyDescent="0.3">
      <c r="A1809" s="2" t="s">
        <v>3651</v>
      </c>
      <c r="B1809" s="2" t="s">
        <v>151</v>
      </c>
      <c r="C1809" s="3" t="str">
        <f>HYPERLINK("https://springer.com/40812")</f>
        <v>https://springer.com/40812</v>
      </c>
      <c r="D1809" s="2" t="s">
        <v>3652</v>
      </c>
      <c r="E1809" s="2" t="s">
        <v>8</v>
      </c>
    </row>
    <row r="1810" spans="1:5" ht="12.75" customHeight="1" x14ac:dyDescent="0.3">
      <c r="A1810" s="2" t="s">
        <v>3653</v>
      </c>
      <c r="B1810" s="2" t="s">
        <v>56</v>
      </c>
      <c r="C1810" s="3" t="str">
        <f>HYPERLINK("https://springer.com/40815")</f>
        <v>https://springer.com/40815</v>
      </c>
      <c r="D1810" s="2" t="s">
        <v>3654</v>
      </c>
      <c r="E1810" s="2" t="s">
        <v>8</v>
      </c>
    </row>
    <row r="1811" spans="1:5" ht="12.75" customHeight="1" x14ac:dyDescent="0.3">
      <c r="A1811" s="2" t="s">
        <v>3655</v>
      </c>
      <c r="B1811" s="2" t="s">
        <v>13</v>
      </c>
      <c r="C1811" s="3" t="str">
        <f>HYPERLINK("https://springer.com/40818")</f>
        <v>https://springer.com/40818</v>
      </c>
      <c r="D1811" s="2" t="s">
        <v>3656</v>
      </c>
      <c r="E1811" s="2" t="s">
        <v>8</v>
      </c>
    </row>
    <row r="1812" spans="1:5" ht="12.75" customHeight="1" x14ac:dyDescent="0.3">
      <c r="A1812" s="2" t="s">
        <v>3657</v>
      </c>
      <c r="B1812" s="2" t="s">
        <v>10</v>
      </c>
      <c r="C1812" s="3" t="str">
        <f>HYPERLINK("https://springer.com/40819")</f>
        <v>https://springer.com/40819</v>
      </c>
      <c r="D1812" s="2" t="s">
        <v>3658</v>
      </c>
      <c r="E1812" s="2" t="s">
        <v>8</v>
      </c>
    </row>
    <row r="1813" spans="1:5" ht="12.75" customHeight="1" x14ac:dyDescent="0.3">
      <c r="A1813" s="2" t="s">
        <v>3659</v>
      </c>
      <c r="B1813" s="2" t="s">
        <v>181</v>
      </c>
      <c r="C1813" s="3" t="str">
        <f>HYPERLINK("https://springer.com/40821")</f>
        <v>https://springer.com/40821</v>
      </c>
      <c r="D1813" s="2" t="s">
        <v>3660</v>
      </c>
      <c r="E1813" s="2" t="s">
        <v>8</v>
      </c>
    </row>
    <row r="1814" spans="1:5" ht="12.75" customHeight="1" x14ac:dyDescent="0.3">
      <c r="A1814" s="2" t="s">
        <v>3661</v>
      </c>
      <c r="B1814" s="2" t="s">
        <v>151</v>
      </c>
      <c r="C1814" s="3" t="str">
        <f>HYPERLINK("https://springer.com/40822")</f>
        <v>https://springer.com/40822</v>
      </c>
      <c r="D1814" s="2" t="s">
        <v>3662</v>
      </c>
      <c r="E1814" s="2" t="s">
        <v>8</v>
      </c>
    </row>
    <row r="1815" spans="1:5" ht="12.75" customHeight="1" x14ac:dyDescent="0.3">
      <c r="A1815" s="2" t="s">
        <v>3663</v>
      </c>
      <c r="B1815" s="2" t="s">
        <v>6</v>
      </c>
      <c r="C1815" s="3" t="str">
        <f>HYPERLINK("https://springer.com/40823")</f>
        <v>https://springer.com/40823</v>
      </c>
      <c r="D1815" s="2" t="s">
        <v>3664</v>
      </c>
      <c r="E1815" s="2" t="s">
        <v>8</v>
      </c>
    </row>
    <row r="1816" spans="1:5" ht="12.75" customHeight="1" x14ac:dyDescent="0.3">
      <c r="A1816" s="2" t="s">
        <v>3665</v>
      </c>
      <c r="B1816" s="2" t="s">
        <v>26</v>
      </c>
      <c r="C1816" s="3" t="str">
        <f>HYPERLINK("https://springer.com/40825")</f>
        <v>https://springer.com/40825</v>
      </c>
      <c r="D1816" s="2" t="s">
        <v>3666</v>
      </c>
      <c r="E1816" s="2" t="s">
        <v>8</v>
      </c>
    </row>
    <row r="1817" spans="1:5" ht="12.75" customHeight="1" x14ac:dyDescent="0.3">
      <c r="A1817" s="2" t="s">
        <v>3667</v>
      </c>
      <c r="B1817" s="2" t="s">
        <v>218</v>
      </c>
      <c r="C1817" s="3" t="str">
        <f>HYPERLINK("https://springer.com/40828")</f>
        <v>https://springer.com/40828</v>
      </c>
      <c r="D1817" s="2" t="s">
        <v>3668</v>
      </c>
      <c r="E1817" s="2" t="s">
        <v>8</v>
      </c>
    </row>
    <row r="1818" spans="1:5" ht="12.75" customHeight="1" x14ac:dyDescent="0.3">
      <c r="A1818" s="2" t="s">
        <v>3669</v>
      </c>
      <c r="B1818" s="2" t="s">
        <v>396</v>
      </c>
      <c r="C1818" s="3" t="str">
        <f>HYPERLINK("https://springer.com/40830")</f>
        <v>https://springer.com/40830</v>
      </c>
      <c r="D1818" s="2" t="s">
        <v>3670</v>
      </c>
      <c r="E1818" s="2" t="s">
        <v>8</v>
      </c>
    </row>
    <row r="1819" spans="1:5" ht="12.75" customHeight="1" x14ac:dyDescent="0.3">
      <c r="A1819" s="2" t="s">
        <v>3671</v>
      </c>
      <c r="B1819" s="2" t="s">
        <v>133</v>
      </c>
      <c r="C1819" s="3" t="str">
        <f>HYPERLINK("https://springer.com/40831")</f>
        <v>https://springer.com/40831</v>
      </c>
      <c r="D1819" s="2" t="s">
        <v>3672</v>
      </c>
      <c r="E1819" s="2" t="s">
        <v>8</v>
      </c>
    </row>
    <row r="1820" spans="1:5" ht="12.75" customHeight="1" x14ac:dyDescent="0.3">
      <c r="A1820" s="2" t="s">
        <v>3673</v>
      </c>
      <c r="B1820" s="2" t="s">
        <v>753</v>
      </c>
      <c r="C1820" s="3" t="str">
        <f>HYPERLINK("https://springer.com/40839")</f>
        <v>https://springer.com/40839</v>
      </c>
      <c r="D1820" s="2" t="s">
        <v>3674</v>
      </c>
      <c r="E1820" s="2" t="s">
        <v>8</v>
      </c>
    </row>
    <row r="1821" spans="1:5" ht="12.75" customHeight="1" x14ac:dyDescent="0.3">
      <c r="A1821" s="2" t="s">
        <v>3675</v>
      </c>
      <c r="B1821" s="2" t="s">
        <v>10</v>
      </c>
      <c r="C1821" s="3" t="str">
        <f>HYPERLINK("https://springer.com/40840")</f>
        <v>https://springer.com/40840</v>
      </c>
      <c r="D1821" s="2" t="s">
        <v>3676</v>
      </c>
      <c r="E1821" s="2" t="s">
        <v>8</v>
      </c>
    </row>
    <row r="1822" spans="1:5" ht="12.75" customHeight="1" x14ac:dyDescent="0.3">
      <c r="A1822" s="2" t="s">
        <v>3677</v>
      </c>
      <c r="B1822" s="2" t="s">
        <v>753</v>
      </c>
      <c r="C1822" s="3" t="str">
        <f>HYPERLINK("https://springer.com/40841")</f>
        <v>https://springer.com/40841</v>
      </c>
      <c r="D1822" s="2" t="s">
        <v>3678</v>
      </c>
      <c r="E1822" s="2" t="s">
        <v>8</v>
      </c>
    </row>
    <row r="1823" spans="1:5" ht="12.75" customHeight="1" x14ac:dyDescent="0.3">
      <c r="A1823" s="2" t="s">
        <v>3679</v>
      </c>
      <c r="B1823" s="2" t="s">
        <v>396</v>
      </c>
      <c r="C1823" s="3" t="str">
        <f>HYPERLINK("https://springer.com/40843")</f>
        <v>https://springer.com/40843</v>
      </c>
      <c r="D1823" s="2" t="s">
        <v>3680</v>
      </c>
      <c r="E1823" s="2" t="s">
        <v>8</v>
      </c>
    </row>
    <row r="1824" spans="1:5" ht="12.75" customHeight="1" x14ac:dyDescent="0.3">
      <c r="A1824" s="2" t="s">
        <v>3681</v>
      </c>
      <c r="B1824" s="2" t="s">
        <v>151</v>
      </c>
      <c r="C1824" s="3" t="str">
        <f>HYPERLINK("https://springer.com/40844")</f>
        <v>https://springer.com/40844</v>
      </c>
      <c r="D1824" s="2" t="s">
        <v>3682</v>
      </c>
      <c r="E1824" s="2" t="s">
        <v>8</v>
      </c>
    </row>
    <row r="1825" spans="1:5" ht="12.75" customHeight="1" x14ac:dyDescent="0.3">
      <c r="A1825" s="2" t="s">
        <v>3683</v>
      </c>
      <c r="B1825" s="2" t="s">
        <v>20</v>
      </c>
      <c r="C1825" s="3" t="str">
        <f>HYPERLINK("https://springer.com/40846")</f>
        <v>https://springer.com/40846</v>
      </c>
      <c r="D1825" s="2" t="s">
        <v>3684</v>
      </c>
      <c r="E1825" s="2" t="s">
        <v>8</v>
      </c>
    </row>
    <row r="1826" spans="1:5" ht="12.75" customHeight="1" x14ac:dyDescent="0.3">
      <c r="A1826" s="2" t="s">
        <v>3685</v>
      </c>
      <c r="B1826" s="2" t="s">
        <v>151</v>
      </c>
      <c r="C1826" s="3" t="str">
        <f>HYPERLINK("https://springer.com/40847")</f>
        <v>https://springer.com/40847</v>
      </c>
      <c r="D1826" s="2" t="s">
        <v>3686</v>
      </c>
      <c r="E1826" s="2" t="s">
        <v>8</v>
      </c>
    </row>
    <row r="1827" spans="1:5" ht="12.75" customHeight="1" x14ac:dyDescent="0.3">
      <c r="A1827" s="2" t="s">
        <v>3687</v>
      </c>
      <c r="B1827" s="2" t="s">
        <v>56</v>
      </c>
      <c r="C1827" s="3" t="str">
        <f>HYPERLINK("https://springer.com/40857")</f>
        <v>https://springer.com/40857</v>
      </c>
      <c r="D1827" s="2" t="s">
        <v>3688</v>
      </c>
      <c r="E1827" s="2" t="s">
        <v>8</v>
      </c>
    </row>
    <row r="1828" spans="1:5" ht="12.75" customHeight="1" x14ac:dyDescent="0.3">
      <c r="A1828" s="2" t="s">
        <v>3689</v>
      </c>
      <c r="B1828" s="2" t="s">
        <v>6</v>
      </c>
      <c r="C1828" s="3" t="str">
        <f>HYPERLINK("https://springer.com/40858")</f>
        <v>https://springer.com/40858</v>
      </c>
      <c r="D1828" s="2" t="s">
        <v>3690</v>
      </c>
      <c r="E1828" s="2" t="s">
        <v>8</v>
      </c>
    </row>
    <row r="1829" spans="1:5" ht="12.75" customHeight="1" x14ac:dyDescent="0.3">
      <c r="A1829" s="2" t="s">
        <v>3691</v>
      </c>
      <c r="B1829" s="2" t="s">
        <v>63</v>
      </c>
      <c r="C1829" s="3" t="str">
        <f>HYPERLINK("https://springer.com/40860")</f>
        <v>https://springer.com/40860</v>
      </c>
      <c r="D1829" s="2" t="s">
        <v>3692</v>
      </c>
      <c r="E1829" s="2" t="s">
        <v>8</v>
      </c>
    </row>
    <row r="1830" spans="1:5" ht="12.75" customHeight="1" x14ac:dyDescent="0.3">
      <c r="A1830" s="2" t="s">
        <v>3693</v>
      </c>
      <c r="B1830" s="2" t="s">
        <v>10</v>
      </c>
      <c r="C1830" s="3" t="str">
        <f>HYPERLINK("https://springer.com/40863")</f>
        <v>https://springer.com/40863</v>
      </c>
      <c r="D1830" s="2" t="s">
        <v>3694</v>
      </c>
      <c r="E1830" s="2" t="s">
        <v>8</v>
      </c>
    </row>
    <row r="1831" spans="1:5" ht="12.75" customHeight="1" x14ac:dyDescent="0.3">
      <c r="A1831" s="2" t="s">
        <v>3695</v>
      </c>
      <c r="B1831" s="2" t="s">
        <v>1076</v>
      </c>
      <c r="C1831" s="3" t="str">
        <f>HYPERLINK("https://springer.com/40865")</f>
        <v>https://springer.com/40865</v>
      </c>
      <c r="D1831" s="2" t="s">
        <v>3696</v>
      </c>
      <c r="E1831" s="2" t="s">
        <v>8</v>
      </c>
    </row>
    <row r="1832" spans="1:5" ht="12.75" customHeight="1" x14ac:dyDescent="0.3">
      <c r="A1832" s="2" t="s">
        <v>3697</v>
      </c>
      <c r="B1832" s="2" t="s">
        <v>1272</v>
      </c>
      <c r="C1832" s="3" t="str">
        <f>HYPERLINK("https://springer.com/40866")</f>
        <v>https://springer.com/40866</v>
      </c>
      <c r="D1832" s="2" t="s">
        <v>3698</v>
      </c>
      <c r="E1832" s="2" t="s">
        <v>8</v>
      </c>
    </row>
    <row r="1833" spans="1:5" ht="12.75" customHeight="1" x14ac:dyDescent="0.3">
      <c r="A1833" s="2" t="s">
        <v>3699</v>
      </c>
      <c r="B1833" s="2" t="s">
        <v>56</v>
      </c>
      <c r="C1833" s="3" t="str">
        <f>HYPERLINK("https://springer.com/40868")</f>
        <v>https://springer.com/40868</v>
      </c>
      <c r="D1833" s="2" t="s">
        <v>3700</v>
      </c>
      <c r="E1833" s="2" t="s">
        <v>8</v>
      </c>
    </row>
    <row r="1834" spans="1:5" ht="12.75" customHeight="1" x14ac:dyDescent="0.3">
      <c r="A1834" s="2" t="s">
        <v>3701</v>
      </c>
      <c r="B1834" s="2" t="s">
        <v>396</v>
      </c>
      <c r="C1834" s="3" t="str">
        <f>HYPERLINK("https://springer.com/40870")</f>
        <v>https://springer.com/40870</v>
      </c>
      <c r="D1834" s="2" t="s">
        <v>3702</v>
      </c>
      <c r="E1834" s="2" t="s">
        <v>8</v>
      </c>
    </row>
    <row r="1835" spans="1:5" ht="12.75" customHeight="1" x14ac:dyDescent="0.3">
      <c r="A1835" s="2" t="s">
        <v>3703</v>
      </c>
      <c r="B1835" s="2" t="s">
        <v>10</v>
      </c>
      <c r="C1835" s="3" t="str">
        <f>HYPERLINK("https://springer.com/40879")</f>
        <v>https://springer.com/40879</v>
      </c>
      <c r="D1835" s="2" t="s">
        <v>3704</v>
      </c>
      <c r="E1835" s="2" t="s">
        <v>8</v>
      </c>
    </row>
    <row r="1836" spans="1:5" ht="12.75" customHeight="1" x14ac:dyDescent="0.3">
      <c r="A1836" s="2" t="s">
        <v>3705</v>
      </c>
      <c r="B1836" s="2" t="s">
        <v>396</v>
      </c>
      <c r="C1836" s="3" t="str">
        <f>HYPERLINK("https://springer.com/40883")</f>
        <v>https://springer.com/40883</v>
      </c>
      <c r="D1836" s="2" t="s">
        <v>3706</v>
      </c>
      <c r="E1836" s="2" t="s">
        <v>8</v>
      </c>
    </row>
    <row r="1837" spans="1:5" ht="12.75" customHeight="1" x14ac:dyDescent="0.3">
      <c r="A1837" s="2" t="s">
        <v>3707</v>
      </c>
      <c r="B1837" s="2" t="s">
        <v>151</v>
      </c>
      <c r="C1837" s="3" t="str">
        <f>HYPERLINK("https://springer.com/40888")</f>
        <v>https://springer.com/40888</v>
      </c>
      <c r="D1837" s="2" t="s">
        <v>3708</v>
      </c>
      <c r="E1837" s="2" t="s">
        <v>8</v>
      </c>
    </row>
    <row r="1838" spans="1:5" ht="12.75" customHeight="1" x14ac:dyDescent="0.3">
      <c r="A1838" s="2" t="s">
        <v>3709</v>
      </c>
      <c r="B1838" s="2" t="s">
        <v>868</v>
      </c>
      <c r="C1838" s="3" t="str">
        <f>HYPERLINK("https://springer.com/40889")</f>
        <v>https://springer.com/40889</v>
      </c>
      <c r="D1838" s="2" t="s">
        <v>3710</v>
      </c>
      <c r="E1838" s="2" t="s">
        <v>8</v>
      </c>
    </row>
    <row r="1839" spans="1:5" ht="12.75" customHeight="1" x14ac:dyDescent="0.3">
      <c r="A1839" s="2" t="s">
        <v>3711</v>
      </c>
      <c r="B1839" s="2" t="s">
        <v>56</v>
      </c>
      <c r="C1839" s="3" t="str">
        <f>HYPERLINK("https://springer.com/40890")</f>
        <v>https://springer.com/40890</v>
      </c>
      <c r="D1839" s="2" t="s">
        <v>3712</v>
      </c>
      <c r="E1839" s="2" t="s">
        <v>8</v>
      </c>
    </row>
    <row r="1840" spans="1:5" ht="12.75" customHeight="1" x14ac:dyDescent="0.3">
      <c r="A1840" s="2" t="s">
        <v>3713</v>
      </c>
      <c r="B1840" s="2" t="s">
        <v>56</v>
      </c>
      <c r="C1840" s="3" t="str">
        <f>HYPERLINK("https://springer.com/40891")</f>
        <v>https://springer.com/40891</v>
      </c>
      <c r="D1840" s="2" t="s">
        <v>3714</v>
      </c>
      <c r="E1840" s="2" t="s">
        <v>8</v>
      </c>
    </row>
    <row r="1841" spans="1:5" ht="12.75" customHeight="1" x14ac:dyDescent="0.3">
      <c r="A1841" s="2" t="s">
        <v>3715</v>
      </c>
      <c r="B1841" s="2" t="s">
        <v>443</v>
      </c>
      <c r="C1841" s="3" t="str">
        <f>HYPERLINK("https://springer.com/40894")</f>
        <v>https://springer.com/40894</v>
      </c>
      <c r="D1841" s="2" t="s">
        <v>3716</v>
      </c>
      <c r="E1841" s="2" t="s">
        <v>8</v>
      </c>
    </row>
    <row r="1842" spans="1:5" ht="12.75" customHeight="1" x14ac:dyDescent="0.3">
      <c r="A1842" s="2" t="s">
        <v>3717</v>
      </c>
      <c r="B1842" s="2" t="s">
        <v>26</v>
      </c>
      <c r="C1842" s="3" t="str">
        <f>HYPERLINK("https://springer.com/40899")</f>
        <v>https://springer.com/40899</v>
      </c>
      <c r="D1842" s="2" t="s">
        <v>3718</v>
      </c>
      <c r="E1842" s="2" t="s">
        <v>8</v>
      </c>
    </row>
    <row r="1843" spans="1:5" ht="12.75" customHeight="1" x14ac:dyDescent="0.3">
      <c r="A1843" s="2" t="s">
        <v>3719</v>
      </c>
      <c r="B1843" s="2" t="s">
        <v>868</v>
      </c>
      <c r="C1843" s="3" t="str">
        <f>HYPERLINK("https://springer.com/40926")</f>
        <v>https://springer.com/40926</v>
      </c>
      <c r="D1843" s="2" t="s">
        <v>3720</v>
      </c>
      <c r="E1843" s="2" t="s">
        <v>8</v>
      </c>
    </row>
    <row r="1844" spans="1:5" ht="12.75" customHeight="1" x14ac:dyDescent="0.3">
      <c r="A1844" s="2" t="s">
        <v>3721</v>
      </c>
      <c r="B1844" s="2" t="s">
        <v>56</v>
      </c>
      <c r="C1844" s="3" t="str">
        <f>HYPERLINK("https://springer.com/40940")</f>
        <v>https://springer.com/40940</v>
      </c>
      <c r="D1844" s="2" t="s">
        <v>3722</v>
      </c>
      <c r="E1844" s="2" t="s">
        <v>8</v>
      </c>
    </row>
    <row r="1845" spans="1:5" ht="12.75" customHeight="1" x14ac:dyDescent="0.3">
      <c r="A1845" s="2" t="s">
        <v>3723</v>
      </c>
      <c r="B1845" s="2" t="s">
        <v>78</v>
      </c>
      <c r="C1845" s="3" t="str">
        <f>HYPERLINK("https://springer.com/40944")</f>
        <v>https://springer.com/40944</v>
      </c>
      <c r="D1845" s="2" t="s">
        <v>3724</v>
      </c>
      <c r="E1845" s="2" t="s">
        <v>8</v>
      </c>
    </row>
    <row r="1846" spans="1:5" ht="12.75" customHeight="1" x14ac:dyDescent="0.3">
      <c r="A1846" s="2" t="s">
        <v>3725</v>
      </c>
      <c r="B1846" s="2" t="s">
        <v>151</v>
      </c>
      <c r="C1846" s="3" t="str">
        <f>HYPERLINK("https://springer.com/40953")</f>
        <v>https://springer.com/40953</v>
      </c>
      <c r="D1846" s="2" t="s">
        <v>3726</v>
      </c>
      <c r="E1846" s="2" t="s">
        <v>8</v>
      </c>
    </row>
    <row r="1847" spans="1:5" ht="12.75" customHeight="1" x14ac:dyDescent="0.3">
      <c r="A1847" s="2" t="s">
        <v>3727</v>
      </c>
      <c r="B1847" s="2" t="s">
        <v>868</v>
      </c>
      <c r="C1847" s="3" t="str">
        <f>HYPERLINK("https://springer.com/40961")</f>
        <v>https://springer.com/40961</v>
      </c>
      <c r="D1847" s="2" t="s">
        <v>3728</v>
      </c>
      <c r="E1847" s="2" t="s">
        <v>8</v>
      </c>
    </row>
    <row r="1848" spans="1:5" ht="12.75" customHeight="1" x14ac:dyDescent="0.3">
      <c r="A1848" s="2" t="s">
        <v>3729</v>
      </c>
      <c r="B1848" s="2" t="s">
        <v>396</v>
      </c>
      <c r="C1848" s="3" t="str">
        <f>HYPERLINK("https://springer.com/40962")</f>
        <v>https://springer.com/40962</v>
      </c>
      <c r="D1848" s="2" t="s">
        <v>3730</v>
      </c>
      <c r="E1848" s="2" t="s">
        <v>8</v>
      </c>
    </row>
    <row r="1849" spans="1:5" ht="12.75" customHeight="1" x14ac:dyDescent="0.3">
      <c r="A1849" s="2" t="s">
        <v>3731</v>
      </c>
      <c r="B1849" s="2" t="s">
        <v>56</v>
      </c>
      <c r="C1849" s="3" t="str">
        <f>HYPERLINK("https://springer.com/40964")</f>
        <v>https://springer.com/40964</v>
      </c>
      <c r="D1849" s="2" t="s">
        <v>3732</v>
      </c>
      <c r="E1849" s="2" t="s">
        <v>8</v>
      </c>
    </row>
    <row r="1850" spans="1:5" ht="12.75" customHeight="1" x14ac:dyDescent="0.3">
      <c r="A1850" s="2" t="s">
        <v>3733</v>
      </c>
      <c r="B1850" s="2" t="s">
        <v>133</v>
      </c>
      <c r="C1850" s="3" t="str">
        <f>HYPERLINK("https://springer.com/40974")</f>
        <v>https://springer.com/40974</v>
      </c>
      <c r="D1850" s="2" t="s">
        <v>3734</v>
      </c>
      <c r="E1850" s="2" t="s">
        <v>8</v>
      </c>
    </row>
    <row r="1851" spans="1:5" ht="12.75" customHeight="1" x14ac:dyDescent="0.3">
      <c r="A1851" s="2" t="s">
        <v>3735</v>
      </c>
      <c r="B1851" s="2" t="s">
        <v>794</v>
      </c>
      <c r="C1851" s="3" t="str">
        <f>HYPERLINK("https://springer.com/40980")</f>
        <v>https://springer.com/40980</v>
      </c>
      <c r="D1851" s="2" t="s">
        <v>3736</v>
      </c>
      <c r="E1851" s="2" t="s">
        <v>8</v>
      </c>
    </row>
    <row r="1852" spans="1:5" ht="12.75" customHeight="1" x14ac:dyDescent="0.3">
      <c r="A1852" s="2" t="s">
        <v>3737</v>
      </c>
      <c r="B1852" s="2" t="s">
        <v>10</v>
      </c>
      <c r="C1852" s="3" t="str">
        <f>HYPERLINK("https://springer.com/40993")</f>
        <v>https://springer.com/40993</v>
      </c>
      <c r="D1852" s="2" t="s">
        <v>3738</v>
      </c>
      <c r="E1852" s="2" t="s">
        <v>8</v>
      </c>
    </row>
    <row r="1853" spans="1:5" ht="12.75" customHeight="1" x14ac:dyDescent="0.3">
      <c r="A1853" s="2" t="s">
        <v>3739</v>
      </c>
      <c r="B1853" s="2" t="s">
        <v>56</v>
      </c>
      <c r="C1853" s="3" t="str">
        <f>HYPERLINK("https://springer.com/40995")</f>
        <v>https://springer.com/40995</v>
      </c>
      <c r="D1853" s="2" t="s">
        <v>3740</v>
      </c>
      <c r="E1853" s="2" t="s">
        <v>8</v>
      </c>
    </row>
    <row r="1854" spans="1:5" ht="12.75" customHeight="1" x14ac:dyDescent="0.3">
      <c r="A1854" s="2" t="s">
        <v>3741</v>
      </c>
      <c r="B1854" s="2" t="s">
        <v>56</v>
      </c>
      <c r="C1854" s="3" t="str">
        <f>HYPERLINK("https://springer.com/40996")</f>
        <v>https://springer.com/40996</v>
      </c>
      <c r="D1854" s="2" t="s">
        <v>3742</v>
      </c>
      <c r="E1854" s="2" t="s">
        <v>8</v>
      </c>
    </row>
    <row r="1855" spans="1:5" ht="12.75" customHeight="1" x14ac:dyDescent="0.3">
      <c r="A1855" s="2" t="s">
        <v>3743</v>
      </c>
      <c r="B1855" s="2" t="s">
        <v>56</v>
      </c>
      <c r="C1855" s="3" t="str">
        <f>HYPERLINK("https://springer.com/40997")</f>
        <v>https://springer.com/40997</v>
      </c>
      <c r="D1855" s="2" t="s">
        <v>3744</v>
      </c>
      <c r="E1855" s="2" t="s">
        <v>8</v>
      </c>
    </row>
    <row r="1856" spans="1:5" ht="12.75" customHeight="1" x14ac:dyDescent="0.3">
      <c r="A1856" s="2" t="s">
        <v>3745</v>
      </c>
      <c r="B1856" s="2" t="s">
        <v>56</v>
      </c>
      <c r="C1856" s="3" t="str">
        <f>HYPERLINK("https://springer.com/40998")</f>
        <v>https://springer.com/40998</v>
      </c>
      <c r="D1856" s="2" t="s">
        <v>3746</v>
      </c>
      <c r="E1856" s="2" t="s">
        <v>8</v>
      </c>
    </row>
    <row r="1857" spans="1:5" ht="12.75" customHeight="1" x14ac:dyDescent="0.3">
      <c r="A1857" s="2" t="s">
        <v>3747</v>
      </c>
      <c r="B1857" s="2" t="s">
        <v>56</v>
      </c>
      <c r="C1857" s="3" t="str">
        <f>HYPERLINK("https://springer.com/40999")</f>
        <v>https://springer.com/40999</v>
      </c>
      <c r="D1857" s="2" t="s">
        <v>3748</v>
      </c>
      <c r="E1857" s="2" t="s">
        <v>8</v>
      </c>
    </row>
    <row r="1858" spans="1:5" ht="12.75" customHeight="1" x14ac:dyDescent="0.3">
      <c r="A1858" s="2" t="s">
        <v>3749</v>
      </c>
      <c r="B1858" s="2" t="s">
        <v>347</v>
      </c>
      <c r="C1858" s="3" t="str">
        <f>HYPERLINK("https://springer.com/41020")</f>
        <v>https://springer.com/41020</v>
      </c>
      <c r="D1858" s="2" t="s">
        <v>3750</v>
      </c>
      <c r="E1858" s="2" t="s">
        <v>8</v>
      </c>
    </row>
    <row r="1859" spans="1:5" ht="12.75" customHeight="1" x14ac:dyDescent="0.3">
      <c r="A1859" s="2" t="s">
        <v>3751</v>
      </c>
      <c r="B1859" s="2" t="s">
        <v>56</v>
      </c>
      <c r="C1859" s="3" t="str">
        <f>HYPERLINK("https://springer.com/41024")</f>
        <v>https://springer.com/41024</v>
      </c>
      <c r="D1859" s="2" t="s">
        <v>3752</v>
      </c>
      <c r="E1859" s="2" t="s">
        <v>8</v>
      </c>
    </row>
    <row r="1860" spans="1:5" ht="12.75" customHeight="1" x14ac:dyDescent="0.3">
      <c r="A1860" s="2" t="s">
        <v>3753</v>
      </c>
      <c r="B1860" s="2" t="s">
        <v>151</v>
      </c>
      <c r="C1860" s="3" t="str">
        <f>HYPERLINK("https://springer.com/41027")</f>
        <v>https://springer.com/41027</v>
      </c>
      <c r="D1860" s="2" t="s">
        <v>3754</v>
      </c>
      <c r="E1860" s="2" t="s">
        <v>8</v>
      </c>
    </row>
    <row r="1861" spans="1:5" ht="12.75" customHeight="1" x14ac:dyDescent="0.3">
      <c r="A1861" s="2" t="s">
        <v>3755</v>
      </c>
      <c r="B1861" s="2" t="s">
        <v>443</v>
      </c>
      <c r="C1861" s="3" t="str">
        <f>HYPERLINK("https://springer.com/41042")</f>
        <v>https://springer.com/41042</v>
      </c>
      <c r="D1861" s="2" t="s">
        <v>3756</v>
      </c>
      <c r="E1861" s="2" t="s">
        <v>8</v>
      </c>
    </row>
    <row r="1862" spans="1:5" ht="12.75" customHeight="1" x14ac:dyDescent="0.3">
      <c r="A1862" s="2" t="s">
        <v>3757</v>
      </c>
      <c r="B1862" s="2" t="s">
        <v>56</v>
      </c>
      <c r="C1862" s="3" t="str">
        <f>HYPERLINK("https://springer.com/41050")</f>
        <v>https://springer.com/41050</v>
      </c>
      <c r="D1862" s="2" t="s">
        <v>3758</v>
      </c>
      <c r="E1862" s="2" t="s">
        <v>8</v>
      </c>
    </row>
    <row r="1863" spans="1:5" ht="12.75" customHeight="1" x14ac:dyDescent="0.3">
      <c r="A1863" s="2" t="s">
        <v>3759</v>
      </c>
      <c r="B1863" s="2" t="s">
        <v>868</v>
      </c>
      <c r="C1863" s="3" t="str">
        <f>HYPERLINK("https://springer.com/41055")</f>
        <v>https://springer.com/41055</v>
      </c>
      <c r="D1863" s="2" t="s">
        <v>3760</v>
      </c>
      <c r="E1863" s="2" t="s">
        <v>8</v>
      </c>
    </row>
    <row r="1864" spans="1:5" ht="12.75" customHeight="1" x14ac:dyDescent="0.3">
      <c r="A1864" s="2" t="s">
        <v>3761</v>
      </c>
      <c r="B1864" s="2" t="s">
        <v>63</v>
      </c>
      <c r="C1864" s="3" t="str">
        <f>HYPERLINK("https://springer.com/41060")</f>
        <v>https://springer.com/41060</v>
      </c>
      <c r="D1864" s="2" t="s">
        <v>3762</v>
      </c>
      <c r="E1864" s="2" t="s">
        <v>8</v>
      </c>
    </row>
    <row r="1865" spans="1:5" ht="12.75" customHeight="1" x14ac:dyDescent="0.3">
      <c r="A1865" s="2" t="s">
        <v>3763</v>
      </c>
      <c r="B1865" s="2" t="s">
        <v>218</v>
      </c>
      <c r="C1865" s="3" t="str">
        <f>HYPERLINK("https://springer.com/41061")</f>
        <v>https://springer.com/41061</v>
      </c>
      <c r="D1865" s="2" t="s">
        <v>3764</v>
      </c>
      <c r="E1865" s="2" t="s">
        <v>8</v>
      </c>
    </row>
    <row r="1866" spans="1:5" ht="12.75" customHeight="1" x14ac:dyDescent="0.3">
      <c r="A1866" s="2" t="s">
        <v>3765</v>
      </c>
      <c r="B1866" s="2" t="s">
        <v>26</v>
      </c>
      <c r="C1866" s="3" t="str">
        <f>HYPERLINK("https://springer.com/41062")</f>
        <v>https://springer.com/41062</v>
      </c>
      <c r="D1866" s="2" t="s">
        <v>3766</v>
      </c>
      <c r="E1866" s="2" t="s">
        <v>8</v>
      </c>
    </row>
    <row r="1867" spans="1:5" ht="12.75" customHeight="1" x14ac:dyDescent="0.3">
      <c r="A1867" s="2" t="s">
        <v>3767</v>
      </c>
      <c r="B1867" s="2" t="s">
        <v>528</v>
      </c>
      <c r="C1867" s="3" t="str">
        <f>HYPERLINK("https://springer.com/41064")</f>
        <v>https://springer.com/41064</v>
      </c>
      <c r="D1867" s="2" t="s">
        <v>3768</v>
      </c>
      <c r="E1867" s="2" t="s">
        <v>8</v>
      </c>
    </row>
    <row r="1868" spans="1:5" ht="12.75" customHeight="1" x14ac:dyDescent="0.3">
      <c r="A1868" s="2" t="s">
        <v>3769</v>
      </c>
      <c r="B1868" s="2" t="s">
        <v>170</v>
      </c>
      <c r="C1868" s="3" t="str">
        <f>HYPERLINK("https://springer.com/41096")</f>
        <v>https://springer.com/41096</v>
      </c>
      <c r="D1868" s="2" t="s">
        <v>3770</v>
      </c>
      <c r="E1868" s="2" t="s">
        <v>8</v>
      </c>
    </row>
    <row r="1869" spans="1:5" ht="12.75" customHeight="1" x14ac:dyDescent="0.3">
      <c r="A1869" s="2" t="s">
        <v>3771</v>
      </c>
      <c r="B1869" s="2" t="s">
        <v>133</v>
      </c>
      <c r="C1869" s="3" t="str">
        <f>HYPERLINK("https://springer.com/41101")</f>
        <v>https://springer.com/41101</v>
      </c>
      <c r="D1869" s="2" t="s">
        <v>3772</v>
      </c>
      <c r="E1869" s="2" t="s">
        <v>8</v>
      </c>
    </row>
    <row r="1870" spans="1:5" ht="12.75" customHeight="1" x14ac:dyDescent="0.3">
      <c r="A1870" s="2" t="s">
        <v>3773</v>
      </c>
      <c r="B1870" s="2" t="s">
        <v>20</v>
      </c>
      <c r="C1870" s="3" t="str">
        <f>HYPERLINK("https://springer.com/41105")</f>
        <v>https://springer.com/41105</v>
      </c>
      <c r="D1870" s="2" t="s">
        <v>3774</v>
      </c>
      <c r="E1870" s="2" t="s">
        <v>8</v>
      </c>
    </row>
    <row r="1871" spans="1:5" ht="12.75" customHeight="1" x14ac:dyDescent="0.3">
      <c r="A1871" s="2" t="s">
        <v>3775</v>
      </c>
      <c r="B1871" s="2" t="s">
        <v>78</v>
      </c>
      <c r="C1871" s="3" t="str">
        <f>HYPERLINK("https://springer.com/41110")</f>
        <v>https://springer.com/41110</v>
      </c>
      <c r="D1871" s="2" t="s">
        <v>3776</v>
      </c>
      <c r="E1871" s="2" t="s">
        <v>8</v>
      </c>
    </row>
    <row r="1872" spans="1:5" ht="12.75" customHeight="1" x14ac:dyDescent="0.3">
      <c r="A1872" s="2" t="s">
        <v>3777</v>
      </c>
      <c r="B1872" s="2" t="s">
        <v>1063</v>
      </c>
      <c r="C1872" s="3" t="str">
        <f>HYPERLINK("https://springer.com/41111")</f>
        <v>https://springer.com/41111</v>
      </c>
      <c r="D1872" s="2" t="s">
        <v>3778</v>
      </c>
      <c r="E1872" s="2" t="s">
        <v>8</v>
      </c>
    </row>
    <row r="1873" spans="1:5" ht="12.75" customHeight="1" x14ac:dyDescent="0.3">
      <c r="A1873" s="2" t="s">
        <v>3779</v>
      </c>
      <c r="B1873" s="2" t="s">
        <v>347</v>
      </c>
      <c r="C1873" s="3" t="str">
        <f>HYPERLINK("https://springer.com/41125")</f>
        <v>https://springer.com/41125</v>
      </c>
      <c r="D1873" s="2" t="s">
        <v>3780</v>
      </c>
      <c r="E1873" s="2" t="s">
        <v>8</v>
      </c>
    </row>
    <row r="1874" spans="1:5" ht="12.75" customHeight="1" x14ac:dyDescent="0.3">
      <c r="A1874" s="2" t="s">
        <v>3781</v>
      </c>
      <c r="B1874" s="2" t="s">
        <v>396</v>
      </c>
      <c r="C1874" s="3" t="str">
        <f>HYPERLINK("https://springer.com/41127")</f>
        <v>https://springer.com/41127</v>
      </c>
      <c r="D1874" s="2" t="s">
        <v>3782</v>
      </c>
      <c r="E1874" s="2" t="s">
        <v>8</v>
      </c>
    </row>
    <row r="1875" spans="1:5" ht="12.75" customHeight="1" x14ac:dyDescent="0.3">
      <c r="A1875" s="2" t="s">
        <v>3783</v>
      </c>
      <c r="B1875" s="2" t="s">
        <v>151</v>
      </c>
      <c r="C1875" s="3" t="str">
        <f>HYPERLINK("https://springer.com/41130")</f>
        <v>https://springer.com/41130</v>
      </c>
      <c r="D1875" s="2" t="s">
        <v>3784</v>
      </c>
      <c r="E1875" s="2" t="s">
        <v>8</v>
      </c>
    </row>
    <row r="1876" spans="1:5" ht="12.75" customHeight="1" x14ac:dyDescent="0.3">
      <c r="A1876" s="2" t="s">
        <v>3785</v>
      </c>
      <c r="B1876" s="2" t="s">
        <v>56</v>
      </c>
      <c r="C1876" s="3" t="str">
        <f>HYPERLINK("https://springer.com/41133")</f>
        <v>https://springer.com/41133</v>
      </c>
      <c r="D1876" s="2" t="s">
        <v>3786</v>
      </c>
      <c r="E1876" s="2" t="s">
        <v>8</v>
      </c>
    </row>
    <row r="1877" spans="1:5" ht="12.75" customHeight="1" x14ac:dyDescent="0.3">
      <c r="A1877" s="2" t="s">
        <v>3787</v>
      </c>
      <c r="B1877" s="2" t="s">
        <v>794</v>
      </c>
      <c r="C1877" s="3" t="str">
        <f>HYPERLINK("https://springer.com/41134")</f>
        <v>https://springer.com/41134</v>
      </c>
      <c r="D1877" s="2" t="s">
        <v>3788</v>
      </c>
      <c r="E1877" s="2" t="s">
        <v>8</v>
      </c>
    </row>
    <row r="1878" spans="1:5" ht="12.75" customHeight="1" x14ac:dyDescent="0.3">
      <c r="A1878" s="2" t="s">
        <v>3789</v>
      </c>
      <c r="B1878" s="2" t="s">
        <v>26</v>
      </c>
      <c r="C1878" s="3" t="str">
        <f>HYPERLINK("https://springer.com/41204")</f>
        <v>https://springer.com/41204</v>
      </c>
      <c r="D1878" s="2" t="s">
        <v>3790</v>
      </c>
      <c r="E1878" s="2" t="s">
        <v>8</v>
      </c>
    </row>
    <row r="1879" spans="1:5" ht="12.75" customHeight="1" x14ac:dyDescent="0.3">
      <c r="A1879" s="2" t="s">
        <v>3791</v>
      </c>
      <c r="B1879" s="2" t="s">
        <v>26</v>
      </c>
      <c r="C1879" s="3" t="str">
        <f>HYPERLINK("https://springer.com/41207")</f>
        <v>https://springer.com/41207</v>
      </c>
      <c r="D1879" s="2" t="s">
        <v>3792</v>
      </c>
      <c r="E1879" s="2" t="s">
        <v>8</v>
      </c>
    </row>
    <row r="1880" spans="1:5" ht="12.75" customHeight="1" x14ac:dyDescent="0.3">
      <c r="A1880" s="2" t="s">
        <v>3793</v>
      </c>
      <c r="B1880" s="2" t="s">
        <v>26</v>
      </c>
      <c r="C1880" s="3" t="str">
        <f>HYPERLINK("https://springer.com/41208")</f>
        <v>https://springer.com/41208</v>
      </c>
      <c r="D1880" s="2" t="s">
        <v>3794</v>
      </c>
      <c r="E1880" s="2" t="s">
        <v>8</v>
      </c>
    </row>
    <row r="1881" spans="1:5" ht="12.75" customHeight="1" x14ac:dyDescent="0.3">
      <c r="A1881" s="2" t="s">
        <v>3795</v>
      </c>
      <c r="B1881" s="2" t="s">
        <v>56</v>
      </c>
      <c r="C1881" s="3" t="str">
        <f>HYPERLINK("https://springer.com/41230")</f>
        <v>https://springer.com/41230</v>
      </c>
      <c r="D1881" s="2" t="s">
        <v>3796</v>
      </c>
      <c r="E1881" s="2" t="s">
        <v>8</v>
      </c>
    </row>
    <row r="1882" spans="1:5" ht="12.75" customHeight="1" x14ac:dyDescent="0.3">
      <c r="A1882" s="2" t="s">
        <v>3797</v>
      </c>
      <c r="B1882" s="2" t="s">
        <v>56</v>
      </c>
      <c r="C1882" s="3" t="str">
        <f>HYPERLINK("https://springer.com/41233")</f>
        <v>https://springer.com/41233</v>
      </c>
      <c r="D1882" s="2" t="s">
        <v>3798</v>
      </c>
      <c r="E1882" s="2" t="s">
        <v>8</v>
      </c>
    </row>
    <row r="1883" spans="1:5" ht="12.75" customHeight="1" x14ac:dyDescent="0.3">
      <c r="A1883" s="2" t="s">
        <v>3799</v>
      </c>
      <c r="B1883" s="2" t="s">
        <v>170</v>
      </c>
      <c r="C1883" s="3" t="str">
        <f>HYPERLINK("https://springer.com/41237")</f>
        <v>https://springer.com/41237</v>
      </c>
      <c r="D1883" s="2" t="s">
        <v>3800</v>
      </c>
      <c r="E1883" s="2" t="s">
        <v>8</v>
      </c>
    </row>
    <row r="1884" spans="1:5" ht="12.75" customHeight="1" x14ac:dyDescent="0.3">
      <c r="A1884" s="2" t="s">
        <v>3801</v>
      </c>
      <c r="B1884" s="2" t="s">
        <v>1666</v>
      </c>
      <c r="C1884" s="3" t="str">
        <f>HYPERLINK("https://springer.com/41244")</f>
        <v>https://springer.com/41244</v>
      </c>
      <c r="D1884" s="2" t="s">
        <v>3802</v>
      </c>
      <c r="E1884" s="2" t="s">
        <v>8</v>
      </c>
    </row>
    <row r="1885" spans="1:5" ht="12.75" customHeight="1" x14ac:dyDescent="0.3">
      <c r="A1885" s="2" t="s">
        <v>3803</v>
      </c>
      <c r="B1885" s="2" t="s">
        <v>1666</v>
      </c>
      <c r="C1885" s="3" t="str">
        <f>HYPERLINK("https://springer.com/41245")</f>
        <v>https://springer.com/41245</v>
      </c>
      <c r="D1885" s="2" t="s">
        <v>3804</v>
      </c>
      <c r="E1885" s="2" t="s">
        <v>8</v>
      </c>
    </row>
    <row r="1886" spans="1:5" ht="12.75" customHeight="1" x14ac:dyDescent="0.3">
      <c r="A1886" s="2" t="s">
        <v>3805</v>
      </c>
      <c r="B1886" s="2" t="s">
        <v>1272</v>
      </c>
      <c r="C1886" s="3" t="str">
        <f>HYPERLINK("https://springer.com/41247")</f>
        <v>https://springer.com/41247</v>
      </c>
      <c r="D1886" s="2" t="s">
        <v>3806</v>
      </c>
      <c r="E1886" s="2" t="s">
        <v>8</v>
      </c>
    </row>
    <row r="1887" spans="1:5" ht="12.75" customHeight="1" x14ac:dyDescent="0.3">
      <c r="A1887" s="2" t="s">
        <v>3807</v>
      </c>
      <c r="B1887" s="2" t="s">
        <v>443</v>
      </c>
      <c r="C1887" s="3" t="str">
        <f>HYPERLINK("https://springer.com/41252")</f>
        <v>https://springer.com/41252</v>
      </c>
      <c r="D1887" s="2" t="s">
        <v>3808</v>
      </c>
      <c r="E1887" s="2" t="s">
        <v>8</v>
      </c>
    </row>
    <row r="1888" spans="1:5" ht="12.75" customHeight="1" x14ac:dyDescent="0.3">
      <c r="A1888" s="2" t="s">
        <v>3809</v>
      </c>
      <c r="B1888" s="2" t="s">
        <v>1063</v>
      </c>
      <c r="C1888" s="3" t="str">
        <f>HYPERLINK("https://springer.com/41253")</f>
        <v>https://springer.com/41253</v>
      </c>
      <c r="D1888" s="2" t="s">
        <v>3810</v>
      </c>
      <c r="E1888" s="2" t="s">
        <v>8</v>
      </c>
    </row>
    <row r="1889" spans="1:5" ht="12.75" customHeight="1" x14ac:dyDescent="0.3">
      <c r="A1889" s="2" t="s">
        <v>3811</v>
      </c>
      <c r="B1889" s="2" t="s">
        <v>181</v>
      </c>
      <c r="C1889" s="3" t="str">
        <f>HYPERLINK("https://springer.com/41254")</f>
        <v>https://springer.com/41254</v>
      </c>
      <c r="D1889" s="2" t="s">
        <v>3812</v>
      </c>
      <c r="E1889" s="2" t="s">
        <v>8</v>
      </c>
    </row>
    <row r="1890" spans="1:5" ht="12.75" customHeight="1" x14ac:dyDescent="0.3">
      <c r="A1890" s="2" t="s">
        <v>3813</v>
      </c>
      <c r="B1890" s="2" t="s">
        <v>857</v>
      </c>
      <c r="C1890" s="3" t="str">
        <f>HYPERLINK("https://springer.com/41260")</f>
        <v>https://springer.com/41260</v>
      </c>
      <c r="D1890" s="2" t="s">
        <v>3814</v>
      </c>
      <c r="E1890" s="2" t="s">
        <v>8</v>
      </c>
    </row>
    <row r="1891" spans="1:5" ht="12.75" customHeight="1" x14ac:dyDescent="0.3">
      <c r="A1891" s="2" t="s">
        <v>3815</v>
      </c>
      <c r="B1891" s="2" t="s">
        <v>857</v>
      </c>
      <c r="C1891" s="3" t="str">
        <f>HYPERLINK("https://springer.com/41261")</f>
        <v>https://springer.com/41261</v>
      </c>
      <c r="D1891" s="2" t="s">
        <v>3816</v>
      </c>
      <c r="E1891" s="2" t="s">
        <v>8</v>
      </c>
    </row>
    <row r="1892" spans="1:5" ht="12.75" customHeight="1" x14ac:dyDescent="0.3">
      <c r="A1892" s="2" t="s">
        <v>3817</v>
      </c>
      <c r="B1892" s="2" t="s">
        <v>181</v>
      </c>
      <c r="C1892" s="3" t="str">
        <f>HYPERLINK("https://springer.com/41262")</f>
        <v>https://springer.com/41262</v>
      </c>
      <c r="D1892" s="2" t="s">
        <v>3818</v>
      </c>
      <c r="E1892" s="2" t="s">
        <v>8</v>
      </c>
    </row>
    <row r="1893" spans="1:5" ht="12.75" customHeight="1" x14ac:dyDescent="0.3">
      <c r="A1893" s="2" t="s">
        <v>3819</v>
      </c>
      <c r="B1893" s="2" t="s">
        <v>857</v>
      </c>
      <c r="C1893" s="3" t="str">
        <f>HYPERLINK("https://springer.com/41264")</f>
        <v>https://springer.com/41264</v>
      </c>
      <c r="D1893" s="2" t="s">
        <v>3820</v>
      </c>
      <c r="E1893" s="2" t="s">
        <v>8</v>
      </c>
    </row>
    <row r="1894" spans="1:5" ht="12.75" customHeight="1" x14ac:dyDescent="0.3">
      <c r="A1894" s="2" t="s">
        <v>3821</v>
      </c>
      <c r="B1894" s="2" t="s">
        <v>181</v>
      </c>
      <c r="C1894" s="3" t="str">
        <f>HYPERLINK("https://springer.com/41267")</f>
        <v>https://springer.com/41267</v>
      </c>
      <c r="D1894" s="2" t="s">
        <v>3822</v>
      </c>
      <c r="E1894" s="2" t="s">
        <v>8</v>
      </c>
    </row>
    <row r="1895" spans="1:5" ht="12.75" customHeight="1" x14ac:dyDescent="0.3">
      <c r="A1895" s="2" t="s">
        <v>3823</v>
      </c>
      <c r="B1895" s="2" t="s">
        <v>1063</v>
      </c>
      <c r="C1895" s="3" t="str">
        <f>HYPERLINK("https://springer.com/41269")</f>
        <v>https://springer.com/41269</v>
      </c>
      <c r="D1895" s="2" t="s">
        <v>3824</v>
      </c>
      <c r="E1895" s="2" t="s">
        <v>8</v>
      </c>
    </row>
    <row r="1896" spans="1:5" ht="12.75" customHeight="1" x14ac:dyDescent="0.3">
      <c r="A1896" s="2" t="s">
        <v>3825</v>
      </c>
      <c r="B1896" s="2" t="s">
        <v>181</v>
      </c>
      <c r="C1896" s="3" t="str">
        <f>HYPERLINK("https://springer.com/41270")</f>
        <v>https://springer.com/41270</v>
      </c>
      <c r="D1896" s="2" t="s">
        <v>3826</v>
      </c>
      <c r="E1896" s="2" t="s">
        <v>8</v>
      </c>
    </row>
    <row r="1897" spans="1:5" ht="12.75" customHeight="1" x14ac:dyDescent="0.3">
      <c r="A1897" s="2" t="s">
        <v>3827</v>
      </c>
      <c r="B1897" s="2" t="s">
        <v>794</v>
      </c>
      <c r="C1897" s="3" t="str">
        <f>HYPERLINK("https://springer.com/41271")</f>
        <v>https://springer.com/41271</v>
      </c>
      <c r="D1897" s="2" t="s">
        <v>3828</v>
      </c>
      <c r="E1897" s="2" t="s">
        <v>8</v>
      </c>
    </row>
    <row r="1898" spans="1:5" ht="12.75" customHeight="1" x14ac:dyDescent="0.3">
      <c r="A1898" s="2" t="s">
        <v>3829</v>
      </c>
      <c r="B1898" s="2" t="s">
        <v>181</v>
      </c>
      <c r="C1898" s="3" t="str">
        <f>HYPERLINK("https://springer.com/41272")</f>
        <v>https://springer.com/41272</v>
      </c>
      <c r="D1898" s="2" t="s">
        <v>3830</v>
      </c>
      <c r="E1898" s="2" t="s">
        <v>8</v>
      </c>
    </row>
    <row r="1899" spans="1:5" ht="12.75" customHeight="1" x14ac:dyDescent="0.3">
      <c r="A1899" s="2" t="s">
        <v>3831</v>
      </c>
      <c r="B1899" s="2" t="s">
        <v>941</v>
      </c>
      <c r="C1899" s="3" t="str">
        <f>HYPERLINK("https://springer.com/41276")</f>
        <v>https://springer.com/41276</v>
      </c>
      <c r="D1899" s="2" t="s">
        <v>3832</v>
      </c>
      <c r="E1899" s="2" t="s">
        <v>8</v>
      </c>
    </row>
    <row r="1900" spans="1:5" ht="12.75" customHeight="1" x14ac:dyDescent="0.3">
      <c r="A1900" s="2" t="s">
        <v>3833</v>
      </c>
      <c r="B1900" s="2" t="s">
        <v>181</v>
      </c>
      <c r="C1900" s="3" t="str">
        <f>HYPERLINK("https://springer.com/41278")</f>
        <v>https://springer.com/41278</v>
      </c>
      <c r="D1900" s="2" t="s">
        <v>3834</v>
      </c>
      <c r="E1900" s="2" t="s">
        <v>8</v>
      </c>
    </row>
    <row r="1901" spans="1:5" ht="12.75" customHeight="1" x14ac:dyDescent="0.3">
      <c r="A1901" s="2" t="s">
        <v>3835</v>
      </c>
      <c r="B1901" s="2" t="s">
        <v>1666</v>
      </c>
      <c r="C1901" s="3" t="str">
        <f>HYPERLINK("https://springer.com/41280")</f>
        <v>https://springer.com/41280</v>
      </c>
      <c r="D1901" s="2" t="s">
        <v>3836</v>
      </c>
      <c r="E1901" s="2" t="s">
        <v>8</v>
      </c>
    </row>
    <row r="1902" spans="1:5" ht="12.75" customHeight="1" x14ac:dyDescent="0.3">
      <c r="A1902" s="2" t="s">
        <v>3837</v>
      </c>
      <c r="B1902" s="2" t="s">
        <v>78</v>
      </c>
      <c r="C1902" s="3" t="str">
        <f>HYPERLINK("https://springer.com/41282")</f>
        <v>https://springer.com/41282</v>
      </c>
      <c r="D1902" s="2" t="s">
        <v>3838</v>
      </c>
      <c r="E1902" s="2" t="s">
        <v>8</v>
      </c>
    </row>
    <row r="1903" spans="1:5" ht="12.75" customHeight="1" x14ac:dyDescent="0.3">
      <c r="A1903" s="2" t="s">
        <v>3839</v>
      </c>
      <c r="B1903" s="2" t="s">
        <v>857</v>
      </c>
      <c r="C1903" s="3" t="str">
        <f>HYPERLINK("https://springer.com/41283")</f>
        <v>https://springer.com/41283</v>
      </c>
      <c r="D1903" s="2" t="s">
        <v>3840</v>
      </c>
      <c r="E1903" s="2" t="s">
        <v>8</v>
      </c>
    </row>
    <row r="1904" spans="1:5" ht="12.75" customHeight="1" x14ac:dyDescent="0.3">
      <c r="A1904" s="2" t="s">
        <v>3841</v>
      </c>
      <c r="B1904" s="2" t="s">
        <v>794</v>
      </c>
      <c r="C1904" s="3" t="str">
        <f>HYPERLINK("https://springer.com/41284")</f>
        <v>https://springer.com/41284</v>
      </c>
      <c r="D1904" s="2" t="s">
        <v>3842</v>
      </c>
      <c r="E1904" s="2" t="s">
        <v>8</v>
      </c>
    </row>
    <row r="1905" spans="1:5" ht="12.75" customHeight="1" x14ac:dyDescent="0.3">
      <c r="A1905" s="2" t="s">
        <v>3843</v>
      </c>
      <c r="B1905" s="2" t="s">
        <v>794</v>
      </c>
      <c r="C1905" s="3" t="str">
        <f>HYPERLINK("https://springer.com/41285")</f>
        <v>https://springer.com/41285</v>
      </c>
      <c r="D1905" s="2" t="s">
        <v>3844</v>
      </c>
      <c r="E1905" s="2" t="s">
        <v>8</v>
      </c>
    </row>
    <row r="1906" spans="1:5" ht="12.75" customHeight="1" x14ac:dyDescent="0.3">
      <c r="A1906" s="2" t="s">
        <v>3845</v>
      </c>
      <c r="B1906" s="2" t="s">
        <v>794</v>
      </c>
      <c r="C1906" s="3" t="str">
        <f>HYPERLINK("https://springer.com/41286")</f>
        <v>https://springer.com/41286</v>
      </c>
      <c r="D1906" s="2" t="s">
        <v>3846</v>
      </c>
      <c r="E1906" s="2" t="s">
        <v>8</v>
      </c>
    </row>
    <row r="1907" spans="1:5" ht="12.75" customHeight="1" x14ac:dyDescent="0.3">
      <c r="A1907" s="2" t="s">
        <v>3847</v>
      </c>
      <c r="B1907" s="2" t="s">
        <v>794</v>
      </c>
      <c r="C1907" s="3" t="str">
        <f>HYPERLINK("https://springer.com/41287")</f>
        <v>https://springer.com/41287</v>
      </c>
      <c r="D1907" s="2" t="s">
        <v>3848</v>
      </c>
      <c r="E1907" s="2" t="s">
        <v>8</v>
      </c>
    </row>
    <row r="1908" spans="1:5" ht="12.75" customHeight="1" x14ac:dyDescent="0.3">
      <c r="A1908" s="2" t="s">
        <v>3849</v>
      </c>
      <c r="B1908" s="2" t="s">
        <v>857</v>
      </c>
      <c r="C1908" s="3" t="str">
        <f>HYPERLINK("https://springer.com/41288")</f>
        <v>https://springer.com/41288</v>
      </c>
      <c r="D1908" s="2" t="s">
        <v>3850</v>
      </c>
      <c r="E1908" s="2" t="s">
        <v>8</v>
      </c>
    </row>
    <row r="1909" spans="1:5" ht="12.75" customHeight="1" x14ac:dyDescent="0.3">
      <c r="A1909" s="2" t="s">
        <v>3851</v>
      </c>
      <c r="B1909" s="2" t="s">
        <v>3852</v>
      </c>
      <c r="C1909" s="3" t="str">
        <f>HYPERLINK("https://springer.com/41289")</f>
        <v>https://springer.com/41289</v>
      </c>
      <c r="D1909" s="2" t="s">
        <v>3853</v>
      </c>
      <c r="E1909" s="2" t="s">
        <v>8</v>
      </c>
    </row>
    <row r="1910" spans="1:5" ht="12.75" customHeight="1" x14ac:dyDescent="0.3">
      <c r="A1910" s="2" t="s">
        <v>3854</v>
      </c>
      <c r="B1910" s="2" t="s">
        <v>794</v>
      </c>
      <c r="C1910" s="3" t="str">
        <f>HYPERLINK("https://springer.com/41290")</f>
        <v>https://springer.com/41290</v>
      </c>
      <c r="D1910" s="2" t="s">
        <v>3855</v>
      </c>
      <c r="E1910" s="2" t="s">
        <v>8</v>
      </c>
    </row>
    <row r="1911" spans="1:5" ht="12.75" customHeight="1" x14ac:dyDescent="0.3">
      <c r="A1911" s="2" t="s">
        <v>3856</v>
      </c>
      <c r="B1911" s="2" t="s">
        <v>181</v>
      </c>
      <c r="C1911" s="3" t="str">
        <f>HYPERLINK("https://springer.com/41291")</f>
        <v>https://springer.com/41291</v>
      </c>
      <c r="D1911" s="2" t="s">
        <v>3857</v>
      </c>
      <c r="E1911" s="2" t="s">
        <v>8</v>
      </c>
    </row>
    <row r="1912" spans="1:5" ht="12.75" customHeight="1" x14ac:dyDescent="0.3">
      <c r="A1912" s="2" t="s">
        <v>3858</v>
      </c>
      <c r="B1912" s="2" t="s">
        <v>794</v>
      </c>
      <c r="C1912" s="3" t="str">
        <f>HYPERLINK("https://springer.com/41292")</f>
        <v>https://springer.com/41292</v>
      </c>
      <c r="D1912" s="2" t="s">
        <v>3859</v>
      </c>
      <c r="E1912" s="2" t="s">
        <v>8</v>
      </c>
    </row>
    <row r="1913" spans="1:5" ht="12.75" customHeight="1" x14ac:dyDescent="0.3">
      <c r="A1913" s="2" t="s">
        <v>3860</v>
      </c>
      <c r="B1913" s="2" t="s">
        <v>1063</v>
      </c>
      <c r="C1913" s="3" t="str">
        <f>HYPERLINK("https://springer.com/41293")</f>
        <v>https://springer.com/41293</v>
      </c>
      <c r="D1913" s="2" t="s">
        <v>3861</v>
      </c>
      <c r="E1913" s="2" t="s">
        <v>8</v>
      </c>
    </row>
    <row r="1914" spans="1:5" ht="12.75" customHeight="1" x14ac:dyDescent="0.3">
      <c r="A1914" s="2" t="s">
        <v>3862</v>
      </c>
      <c r="B1914" s="2" t="s">
        <v>151</v>
      </c>
      <c r="C1914" s="3" t="str">
        <f>HYPERLINK("https://springer.com/41294")</f>
        <v>https://springer.com/41294</v>
      </c>
      <c r="D1914" s="2" t="s">
        <v>3863</v>
      </c>
      <c r="E1914" s="2" t="s">
        <v>8</v>
      </c>
    </row>
    <row r="1915" spans="1:5" ht="12.75" customHeight="1" x14ac:dyDescent="0.3">
      <c r="A1915" s="2" t="s">
        <v>3864</v>
      </c>
      <c r="B1915" s="2" t="s">
        <v>1063</v>
      </c>
      <c r="C1915" s="3" t="str">
        <f>HYPERLINK("https://springer.com/41295")</f>
        <v>https://springer.com/41295</v>
      </c>
      <c r="D1915" s="2" t="s">
        <v>3865</v>
      </c>
      <c r="E1915" s="2" t="s">
        <v>8</v>
      </c>
    </row>
    <row r="1916" spans="1:5" ht="12.75" customHeight="1" x14ac:dyDescent="0.3">
      <c r="A1916" s="2" t="s">
        <v>3866</v>
      </c>
      <c r="B1916" s="2" t="s">
        <v>1063</v>
      </c>
      <c r="C1916" s="3" t="str">
        <f>HYPERLINK("https://springer.com/41296")</f>
        <v>https://springer.com/41296</v>
      </c>
      <c r="D1916" s="2" t="s">
        <v>3867</v>
      </c>
      <c r="E1916" s="2" t="s">
        <v>8</v>
      </c>
    </row>
    <row r="1917" spans="1:5" ht="12.75" customHeight="1" x14ac:dyDescent="0.3">
      <c r="A1917" s="2" t="s">
        <v>3868</v>
      </c>
      <c r="B1917" s="2" t="s">
        <v>753</v>
      </c>
      <c r="C1917" s="3" t="str">
        <f>HYPERLINK("https://springer.com/41297")</f>
        <v>https://springer.com/41297</v>
      </c>
      <c r="D1917" s="2" t="s">
        <v>3869</v>
      </c>
      <c r="E1917" s="2" t="s">
        <v>8</v>
      </c>
    </row>
    <row r="1918" spans="1:5" ht="12.75" customHeight="1" x14ac:dyDescent="0.3">
      <c r="A1918" s="2" t="s">
        <v>3870</v>
      </c>
      <c r="B1918" s="2" t="s">
        <v>181</v>
      </c>
      <c r="C1918" s="3" t="str">
        <f>HYPERLINK("https://springer.com/41299")</f>
        <v>https://springer.com/41299</v>
      </c>
      <c r="D1918" s="2" t="s">
        <v>3871</v>
      </c>
      <c r="E1918" s="2" t="s">
        <v>8</v>
      </c>
    </row>
    <row r="1919" spans="1:5" ht="12.75" customHeight="1" x14ac:dyDescent="0.3">
      <c r="A1919" s="2" t="s">
        <v>3872</v>
      </c>
      <c r="B1919" s="2" t="s">
        <v>794</v>
      </c>
      <c r="C1919" s="3" t="str">
        <f>HYPERLINK("https://springer.com/41300")</f>
        <v>https://springer.com/41300</v>
      </c>
      <c r="D1919" s="2" t="s">
        <v>3873</v>
      </c>
      <c r="E1919" s="2" t="s">
        <v>8</v>
      </c>
    </row>
    <row r="1920" spans="1:5" ht="12.75" customHeight="1" x14ac:dyDescent="0.3">
      <c r="A1920" s="2" t="s">
        <v>3874</v>
      </c>
      <c r="B1920" s="2" t="s">
        <v>151</v>
      </c>
      <c r="C1920" s="3" t="str">
        <f>HYPERLINK("https://springer.com/41302")</f>
        <v>https://springer.com/41302</v>
      </c>
      <c r="D1920" s="2" t="s">
        <v>3875</v>
      </c>
      <c r="E1920" s="2" t="s">
        <v>8</v>
      </c>
    </row>
    <row r="1921" spans="1:5" ht="12.75" customHeight="1" x14ac:dyDescent="0.3">
      <c r="A1921" s="2" t="s">
        <v>3876</v>
      </c>
      <c r="B1921" s="2" t="s">
        <v>1063</v>
      </c>
      <c r="C1921" s="3" t="str">
        <f>HYPERLINK("https://springer.com/41304")</f>
        <v>https://springer.com/41304</v>
      </c>
      <c r="D1921" s="2" t="s">
        <v>3877</v>
      </c>
      <c r="E1921" s="2" t="s">
        <v>8</v>
      </c>
    </row>
    <row r="1922" spans="1:5" ht="12.75" customHeight="1" x14ac:dyDescent="0.3">
      <c r="A1922" s="2" t="s">
        <v>3878</v>
      </c>
      <c r="B1922" s="2" t="s">
        <v>753</v>
      </c>
      <c r="C1922" s="3" t="str">
        <f>HYPERLINK("https://springer.com/41307")</f>
        <v>https://springer.com/41307</v>
      </c>
      <c r="D1922" s="2" t="s">
        <v>3879</v>
      </c>
      <c r="E1922" s="2" t="s">
        <v>8</v>
      </c>
    </row>
    <row r="1923" spans="1:5" ht="12.75" customHeight="1" x14ac:dyDescent="0.3">
      <c r="A1923" s="2" t="s">
        <v>3880</v>
      </c>
      <c r="B1923" s="2" t="s">
        <v>1063</v>
      </c>
      <c r="C1923" s="3" t="str">
        <f>HYPERLINK("https://springer.com/41309")</f>
        <v>https://springer.com/41309</v>
      </c>
      <c r="D1923" s="2" t="s">
        <v>3881</v>
      </c>
      <c r="E1923" s="2" t="s">
        <v>8</v>
      </c>
    </row>
    <row r="1924" spans="1:5" ht="12.75" customHeight="1" x14ac:dyDescent="0.3">
      <c r="A1924" s="2" t="s">
        <v>3882</v>
      </c>
      <c r="B1924" s="2" t="s">
        <v>181</v>
      </c>
      <c r="C1924" s="3" t="str">
        <f>HYPERLINK("https://springer.com/41310")</f>
        <v>https://springer.com/41310</v>
      </c>
      <c r="D1924" s="2" t="s">
        <v>3883</v>
      </c>
      <c r="E1924" s="2" t="s">
        <v>8</v>
      </c>
    </row>
    <row r="1925" spans="1:5" ht="12.75" customHeight="1" x14ac:dyDescent="0.3">
      <c r="A1925" s="2" t="s">
        <v>3884</v>
      </c>
      <c r="B1925" s="2" t="s">
        <v>1063</v>
      </c>
      <c r="C1925" s="3" t="str">
        <f>HYPERLINK("https://springer.com/41311")</f>
        <v>https://springer.com/41311</v>
      </c>
      <c r="D1925" s="2" t="s">
        <v>3885</v>
      </c>
      <c r="E1925" s="2" t="s">
        <v>8</v>
      </c>
    </row>
    <row r="1926" spans="1:5" ht="12.75" customHeight="1" x14ac:dyDescent="0.3">
      <c r="A1926" s="2" t="s">
        <v>3886</v>
      </c>
      <c r="B1926" s="2" t="s">
        <v>63</v>
      </c>
      <c r="C1926" s="3" t="str">
        <f>HYPERLINK("https://springer.com/41315")</f>
        <v>https://springer.com/41315</v>
      </c>
      <c r="D1926" s="2" t="s">
        <v>3887</v>
      </c>
      <c r="E1926" s="2" t="s">
        <v>8</v>
      </c>
    </row>
    <row r="1927" spans="1:5" ht="12.75" customHeight="1" x14ac:dyDescent="0.3">
      <c r="A1927" s="2" t="s">
        <v>3888</v>
      </c>
      <c r="B1927" s="2" t="s">
        <v>528</v>
      </c>
      <c r="C1927" s="3" t="str">
        <f>HYPERLINK("https://springer.com/41324")</f>
        <v>https://springer.com/41324</v>
      </c>
      <c r="D1927" s="2" t="s">
        <v>3889</v>
      </c>
      <c r="E1927" s="2" t="s">
        <v>8</v>
      </c>
    </row>
    <row r="1928" spans="1:5" ht="12.75" customHeight="1" x14ac:dyDescent="0.3">
      <c r="A1928" s="2" t="s">
        <v>3890</v>
      </c>
      <c r="B1928" s="2" t="s">
        <v>443</v>
      </c>
      <c r="C1928" s="3" t="str">
        <f>HYPERLINK("https://springer.com/41347")</f>
        <v>https://springer.com/41347</v>
      </c>
      <c r="D1928" s="2" t="s">
        <v>3891</v>
      </c>
      <c r="E1928" s="2" t="s">
        <v>8</v>
      </c>
    </row>
    <row r="1929" spans="1:5" ht="12.75" customHeight="1" x14ac:dyDescent="0.3">
      <c r="A1929" s="2" t="s">
        <v>3892</v>
      </c>
      <c r="B1929" s="2" t="s">
        <v>6</v>
      </c>
      <c r="C1929" s="3" t="str">
        <f>HYPERLINK("https://springer.com/41348")</f>
        <v>https://springer.com/41348</v>
      </c>
      <c r="D1929" s="2" t="s">
        <v>3893</v>
      </c>
      <c r="E1929" s="2" t="s">
        <v>8</v>
      </c>
    </row>
    <row r="1930" spans="1:5" ht="12.75" customHeight="1" x14ac:dyDescent="0.3">
      <c r="A1930" s="2" t="s">
        <v>3894</v>
      </c>
      <c r="B1930" s="2" t="s">
        <v>1063</v>
      </c>
      <c r="C1930" s="3" t="str">
        <f>HYPERLINK("https://springer.com/41358")</f>
        <v>https://springer.com/41358</v>
      </c>
      <c r="D1930" s="2" t="s">
        <v>3895</v>
      </c>
      <c r="E1930" s="2" t="s">
        <v>8</v>
      </c>
    </row>
    <row r="1931" spans="1:5" ht="12.75" customHeight="1" x14ac:dyDescent="0.3">
      <c r="A1931" s="2" t="s">
        <v>3896</v>
      </c>
      <c r="B1931" s="2" t="s">
        <v>13</v>
      </c>
      <c r="C1931" s="3" t="str">
        <f>HYPERLINK("https://springer.com/41365")</f>
        <v>https://springer.com/41365</v>
      </c>
      <c r="D1931" s="2" t="s">
        <v>3897</v>
      </c>
      <c r="E1931" s="2" t="s">
        <v>8</v>
      </c>
    </row>
    <row r="1932" spans="1:5" ht="12.75" customHeight="1" x14ac:dyDescent="0.3">
      <c r="A1932" s="2" t="s">
        <v>3898</v>
      </c>
      <c r="B1932" s="2" t="s">
        <v>78</v>
      </c>
      <c r="C1932" s="3" t="str">
        <f>HYPERLINK("https://springer.com/41366")</f>
        <v>https://springer.com/41366</v>
      </c>
      <c r="D1932" s="2" t="s">
        <v>3899</v>
      </c>
      <c r="E1932" s="2" t="s">
        <v>8</v>
      </c>
    </row>
    <row r="1933" spans="1:5" ht="12.75" customHeight="1" x14ac:dyDescent="0.3">
      <c r="A1933" s="2" t="s">
        <v>3900</v>
      </c>
      <c r="B1933" s="2" t="s">
        <v>78</v>
      </c>
      <c r="C1933" s="3" t="str">
        <f>HYPERLINK("https://springer.com/41370")</f>
        <v>https://springer.com/41370</v>
      </c>
      <c r="D1933" s="2" t="s">
        <v>3901</v>
      </c>
      <c r="E1933" s="2" t="s">
        <v>8</v>
      </c>
    </row>
    <row r="1934" spans="1:5" ht="12.75" customHeight="1" x14ac:dyDescent="0.3">
      <c r="A1934" s="2" t="s">
        <v>3902</v>
      </c>
      <c r="B1934" s="2" t="s">
        <v>78</v>
      </c>
      <c r="C1934" s="3" t="str">
        <f>HYPERLINK("https://springer.com/41371")</f>
        <v>https://springer.com/41371</v>
      </c>
      <c r="D1934" s="2" t="s">
        <v>3903</v>
      </c>
      <c r="E1934" s="2" t="s">
        <v>8</v>
      </c>
    </row>
    <row r="1935" spans="1:5" ht="12.75" customHeight="1" x14ac:dyDescent="0.3">
      <c r="A1935" s="2" t="s">
        <v>3904</v>
      </c>
      <c r="B1935" s="2" t="s">
        <v>78</v>
      </c>
      <c r="C1935" s="3" t="str">
        <f>HYPERLINK("https://springer.com/41372")</f>
        <v>https://springer.com/41372</v>
      </c>
      <c r="D1935" s="2" t="s">
        <v>3905</v>
      </c>
      <c r="E1935" s="2" t="s">
        <v>8</v>
      </c>
    </row>
    <row r="1936" spans="1:5" ht="12.75" customHeight="1" x14ac:dyDescent="0.3">
      <c r="A1936" s="2" t="s">
        <v>3906</v>
      </c>
      <c r="B1936" s="2" t="s">
        <v>78</v>
      </c>
      <c r="C1936" s="3" t="str">
        <f>HYPERLINK("https://springer.com/41375")</f>
        <v>https://springer.com/41375</v>
      </c>
      <c r="D1936" s="2" t="s">
        <v>3907</v>
      </c>
      <c r="E1936" s="2" t="s">
        <v>8</v>
      </c>
    </row>
    <row r="1937" spans="1:5" ht="12.75" customHeight="1" x14ac:dyDescent="0.3">
      <c r="A1937" s="2" t="s">
        <v>3908</v>
      </c>
      <c r="B1937" s="2" t="s">
        <v>78</v>
      </c>
      <c r="C1937" s="3" t="str">
        <f>HYPERLINK("https://springer.com/41380")</f>
        <v>https://springer.com/41380</v>
      </c>
      <c r="D1937" s="2" t="s">
        <v>3909</v>
      </c>
      <c r="E1937" s="2" t="s">
        <v>8</v>
      </c>
    </row>
    <row r="1938" spans="1:5" ht="12.75" customHeight="1" x14ac:dyDescent="0.3">
      <c r="A1938" s="2" t="s">
        <v>3910</v>
      </c>
      <c r="B1938" s="2" t="s">
        <v>78</v>
      </c>
      <c r="C1938" s="3" t="str">
        <f>HYPERLINK("https://springer.com/41386")</f>
        <v>https://springer.com/41386</v>
      </c>
      <c r="D1938" s="2" t="s">
        <v>3911</v>
      </c>
      <c r="E1938" s="2" t="s">
        <v>8</v>
      </c>
    </row>
    <row r="1939" spans="1:5" ht="12.75" customHeight="1" x14ac:dyDescent="0.3">
      <c r="A1939" s="2" t="s">
        <v>3912</v>
      </c>
      <c r="B1939" s="2" t="s">
        <v>78</v>
      </c>
      <c r="C1939" s="3" t="str">
        <f>HYPERLINK("https://springer.com/41388")</f>
        <v>https://springer.com/41388</v>
      </c>
      <c r="D1939" s="2" t="s">
        <v>3913</v>
      </c>
      <c r="E1939" s="2" t="s">
        <v>8</v>
      </c>
    </row>
    <row r="1940" spans="1:5" ht="12.75" customHeight="1" x14ac:dyDescent="0.3">
      <c r="A1940" s="2" t="s">
        <v>3914</v>
      </c>
      <c r="B1940" s="2" t="s">
        <v>78</v>
      </c>
      <c r="C1940" s="3" t="str">
        <f>HYPERLINK("https://springer.com/41390")</f>
        <v>https://springer.com/41390</v>
      </c>
      <c r="D1940" s="2" t="s">
        <v>3915</v>
      </c>
      <c r="E1940" s="2" t="s">
        <v>8</v>
      </c>
    </row>
    <row r="1941" spans="1:5" ht="12.75" customHeight="1" x14ac:dyDescent="0.3">
      <c r="A1941" s="2" t="s">
        <v>3916</v>
      </c>
      <c r="B1941" s="2" t="s">
        <v>20</v>
      </c>
      <c r="C1941" s="3" t="str">
        <f>HYPERLINK("https://springer.com/41391")</f>
        <v>https://springer.com/41391</v>
      </c>
      <c r="D1941" s="2" t="s">
        <v>3917</v>
      </c>
      <c r="E1941" s="2" t="s">
        <v>8</v>
      </c>
    </row>
    <row r="1942" spans="1:5" ht="12.75" customHeight="1" x14ac:dyDescent="0.3">
      <c r="A1942" s="2" t="s">
        <v>3918</v>
      </c>
      <c r="B1942" s="2" t="s">
        <v>20</v>
      </c>
      <c r="C1942" s="3" t="str">
        <f>HYPERLINK("https://springer.com/41393")</f>
        <v>https://springer.com/41393</v>
      </c>
      <c r="D1942" s="2" t="s">
        <v>3919</v>
      </c>
      <c r="E1942" s="2" t="s">
        <v>8</v>
      </c>
    </row>
    <row r="1943" spans="1:5" ht="12.75" customHeight="1" x14ac:dyDescent="0.3">
      <c r="A1943" s="2" t="s">
        <v>3920</v>
      </c>
      <c r="B1943" s="2" t="s">
        <v>20</v>
      </c>
      <c r="C1943" s="3" t="str">
        <f>HYPERLINK("https://springer.com/41394")</f>
        <v>https://springer.com/41394</v>
      </c>
      <c r="D1943" s="2" t="s">
        <v>3921</v>
      </c>
      <c r="E1943" s="2" t="s">
        <v>8</v>
      </c>
    </row>
    <row r="1944" spans="1:5" ht="12.75" customHeight="1" x14ac:dyDescent="0.3">
      <c r="A1944" s="2" t="s">
        <v>3922</v>
      </c>
      <c r="B1944" s="2" t="s">
        <v>20</v>
      </c>
      <c r="C1944" s="3" t="str">
        <f>HYPERLINK("https://springer.com/41397")</f>
        <v>https://springer.com/41397</v>
      </c>
      <c r="D1944" s="2" t="s">
        <v>3923</v>
      </c>
      <c r="E1944" s="2" t="s">
        <v>8</v>
      </c>
    </row>
    <row r="1945" spans="1:5" ht="12.75" customHeight="1" x14ac:dyDescent="0.3">
      <c r="A1945" s="2" t="s">
        <v>3924</v>
      </c>
      <c r="B1945" s="2" t="s">
        <v>20</v>
      </c>
      <c r="C1945" s="3" t="str">
        <f>HYPERLINK("https://springer.com/41401")</f>
        <v>https://springer.com/41401</v>
      </c>
      <c r="D1945" s="2" t="s">
        <v>3925</v>
      </c>
      <c r="E1945" s="2" t="s">
        <v>8</v>
      </c>
    </row>
    <row r="1946" spans="1:5" ht="12.75" customHeight="1" x14ac:dyDescent="0.3">
      <c r="A1946" s="2" t="s">
        <v>3926</v>
      </c>
      <c r="B1946" s="2" t="s">
        <v>56</v>
      </c>
      <c r="C1946" s="3" t="str">
        <f>HYPERLINK("https://springer.com/41403")</f>
        <v>https://springer.com/41403</v>
      </c>
      <c r="D1946" s="2" t="s">
        <v>3927</v>
      </c>
      <c r="E1946" s="2" t="s">
        <v>8</v>
      </c>
    </row>
    <row r="1947" spans="1:5" ht="12.75" customHeight="1" x14ac:dyDescent="0.3">
      <c r="A1947" s="2" t="s">
        <v>3928</v>
      </c>
      <c r="B1947" s="2" t="s">
        <v>78</v>
      </c>
      <c r="C1947" s="3" t="str">
        <f>HYPERLINK("https://springer.com/41409")</f>
        <v>https://springer.com/41409</v>
      </c>
      <c r="D1947" s="2" t="s">
        <v>3929</v>
      </c>
      <c r="E1947" s="2" t="s">
        <v>8</v>
      </c>
    </row>
    <row r="1948" spans="1:5" ht="12.75" customHeight="1" x14ac:dyDescent="0.3">
      <c r="A1948" s="2" t="s">
        <v>3930</v>
      </c>
      <c r="B1948" s="2" t="s">
        <v>151</v>
      </c>
      <c r="C1948" s="3" t="str">
        <f>HYPERLINK("https://springer.com/41412")</f>
        <v>https://springer.com/41412</v>
      </c>
      <c r="D1948" s="2" t="s">
        <v>3931</v>
      </c>
      <c r="E1948" s="2" t="s">
        <v>8</v>
      </c>
    </row>
    <row r="1949" spans="1:5" ht="12.75" customHeight="1" x14ac:dyDescent="0.3">
      <c r="A1949" s="2" t="s">
        <v>3932</v>
      </c>
      <c r="B1949" s="2" t="s">
        <v>82</v>
      </c>
      <c r="C1949" s="3" t="str">
        <f>HYPERLINK("https://springer.com/41415")</f>
        <v>https://springer.com/41415</v>
      </c>
      <c r="D1949" s="2" t="s">
        <v>3933</v>
      </c>
      <c r="E1949" s="2" t="s">
        <v>8</v>
      </c>
    </row>
    <row r="1950" spans="1:5" ht="12.75" customHeight="1" x14ac:dyDescent="0.3">
      <c r="A1950" s="2" t="s">
        <v>3934</v>
      </c>
      <c r="B1950" s="2" t="s">
        <v>20</v>
      </c>
      <c r="C1950" s="3" t="str">
        <f>HYPERLINK("https://springer.com/41416")</f>
        <v>https://springer.com/41416</v>
      </c>
      <c r="D1950" s="2" t="s">
        <v>3935</v>
      </c>
      <c r="E1950" s="2" t="s">
        <v>8</v>
      </c>
    </row>
    <row r="1951" spans="1:5" ht="12.75" customHeight="1" x14ac:dyDescent="0.3">
      <c r="A1951" s="2" t="s">
        <v>3936</v>
      </c>
      <c r="B1951" s="2" t="s">
        <v>20</v>
      </c>
      <c r="C1951" s="3" t="str">
        <f>HYPERLINK("https://springer.com/41417")</f>
        <v>https://springer.com/41417</v>
      </c>
      <c r="D1951" s="2" t="s">
        <v>3937</v>
      </c>
      <c r="E1951" s="2" t="s">
        <v>8</v>
      </c>
    </row>
    <row r="1952" spans="1:5" ht="12.75" customHeight="1" x14ac:dyDescent="0.3">
      <c r="A1952" s="2" t="s">
        <v>3938</v>
      </c>
      <c r="B1952" s="2" t="s">
        <v>6</v>
      </c>
      <c r="C1952" s="3" t="str">
        <f>HYPERLINK("https://springer.com/41418")</f>
        <v>https://springer.com/41418</v>
      </c>
      <c r="D1952" s="2" t="s">
        <v>3939</v>
      </c>
      <c r="E1952" s="2" t="s">
        <v>8</v>
      </c>
    </row>
    <row r="1953" spans="1:5" ht="12.75" customHeight="1" x14ac:dyDescent="0.3">
      <c r="A1953" s="2" t="s">
        <v>3940</v>
      </c>
      <c r="B1953" s="2" t="s">
        <v>6</v>
      </c>
      <c r="C1953" s="3" t="str">
        <f>HYPERLINK("https://springer.com/41422")</f>
        <v>https://springer.com/41422</v>
      </c>
      <c r="D1953" s="2" t="s">
        <v>3941</v>
      </c>
      <c r="E1953" s="2" t="s">
        <v>8</v>
      </c>
    </row>
    <row r="1954" spans="1:5" ht="12.75" customHeight="1" x14ac:dyDescent="0.3">
      <c r="A1954" s="2" t="s">
        <v>3942</v>
      </c>
      <c r="B1954" s="2" t="s">
        <v>20</v>
      </c>
      <c r="C1954" s="3" t="str">
        <f>HYPERLINK("https://springer.com/41423")</f>
        <v>https://springer.com/41423</v>
      </c>
      <c r="D1954" s="2" t="s">
        <v>3943</v>
      </c>
      <c r="E1954" s="2" t="s">
        <v>8</v>
      </c>
    </row>
    <row r="1955" spans="1:5" ht="12.75" customHeight="1" x14ac:dyDescent="0.3">
      <c r="A1955" s="2" t="s">
        <v>3944</v>
      </c>
      <c r="B1955" s="2" t="s">
        <v>218</v>
      </c>
      <c r="C1955" s="3" t="str">
        <f>HYPERLINK("https://springer.com/41428")</f>
        <v>https://springer.com/41428</v>
      </c>
      <c r="D1955" s="2" t="s">
        <v>3945</v>
      </c>
      <c r="E1955" s="2" t="s">
        <v>8</v>
      </c>
    </row>
    <row r="1956" spans="1:5" ht="12.75" customHeight="1" x14ac:dyDescent="0.3">
      <c r="A1956" s="2" t="s">
        <v>3946</v>
      </c>
      <c r="B1956" s="2" t="s">
        <v>6</v>
      </c>
      <c r="C1956" s="3" t="str">
        <f>HYPERLINK("https://springer.com/41429")</f>
        <v>https://springer.com/41429</v>
      </c>
      <c r="D1956" s="2" t="s">
        <v>3947</v>
      </c>
      <c r="E1956" s="2" t="s">
        <v>8</v>
      </c>
    </row>
    <row r="1957" spans="1:5" ht="12.75" customHeight="1" x14ac:dyDescent="0.3">
      <c r="A1957" s="2" t="s">
        <v>3948</v>
      </c>
      <c r="B1957" s="2" t="s">
        <v>78</v>
      </c>
      <c r="C1957" s="3" t="str">
        <f>HYPERLINK("https://springer.com/41430")</f>
        <v>https://springer.com/41430</v>
      </c>
      <c r="D1957" s="2" t="s">
        <v>3949</v>
      </c>
      <c r="E1957" s="2" t="s">
        <v>8</v>
      </c>
    </row>
    <row r="1958" spans="1:5" ht="12.75" customHeight="1" x14ac:dyDescent="0.3">
      <c r="A1958" s="2" t="s">
        <v>3950</v>
      </c>
      <c r="B1958" s="2" t="s">
        <v>20</v>
      </c>
      <c r="C1958" s="3" t="str">
        <f>HYPERLINK("https://springer.com/41431")</f>
        <v>https://springer.com/41431</v>
      </c>
      <c r="D1958" s="2" t="s">
        <v>3951</v>
      </c>
      <c r="E1958" s="2" t="s">
        <v>8</v>
      </c>
    </row>
    <row r="1959" spans="1:5" ht="12.75" customHeight="1" x14ac:dyDescent="0.3">
      <c r="A1959" s="2" t="s">
        <v>3952</v>
      </c>
      <c r="B1959" s="2" t="s">
        <v>82</v>
      </c>
      <c r="C1959" s="3" t="str">
        <f>HYPERLINK("https://springer.com/41432")</f>
        <v>https://springer.com/41432</v>
      </c>
      <c r="D1959" s="2" t="s">
        <v>3953</v>
      </c>
      <c r="E1959" s="2" t="s">
        <v>8</v>
      </c>
    </row>
    <row r="1960" spans="1:5" ht="12.75" customHeight="1" x14ac:dyDescent="0.3">
      <c r="A1960" s="2" t="s">
        <v>3954</v>
      </c>
      <c r="B1960" s="2" t="s">
        <v>78</v>
      </c>
      <c r="C1960" s="3" t="str">
        <f>HYPERLINK("https://springer.com/41433")</f>
        <v>https://springer.com/41433</v>
      </c>
      <c r="D1960" s="2" t="s">
        <v>3955</v>
      </c>
      <c r="E1960" s="2" t="s">
        <v>8</v>
      </c>
    </row>
    <row r="1961" spans="1:5" ht="12.75" customHeight="1" x14ac:dyDescent="0.3">
      <c r="A1961" s="2" t="s">
        <v>3956</v>
      </c>
      <c r="B1961" s="2" t="s">
        <v>20</v>
      </c>
      <c r="C1961" s="3" t="str">
        <f>HYPERLINK("https://springer.com/41434")</f>
        <v>https://springer.com/41434</v>
      </c>
      <c r="D1961" s="2" t="s">
        <v>3957</v>
      </c>
      <c r="E1961" s="2" t="s">
        <v>8</v>
      </c>
    </row>
    <row r="1962" spans="1:5" ht="12.75" customHeight="1" x14ac:dyDescent="0.3">
      <c r="A1962" s="2" t="s">
        <v>3958</v>
      </c>
      <c r="B1962" s="2" t="s">
        <v>20</v>
      </c>
      <c r="C1962" s="3" t="str">
        <f>HYPERLINK("https://springer.com/41435")</f>
        <v>https://springer.com/41435</v>
      </c>
      <c r="D1962" s="2" t="s">
        <v>3959</v>
      </c>
      <c r="E1962" s="2" t="s">
        <v>8</v>
      </c>
    </row>
    <row r="1963" spans="1:5" ht="12.75" customHeight="1" x14ac:dyDescent="0.3">
      <c r="A1963" s="2" t="s">
        <v>3960</v>
      </c>
      <c r="B1963" s="2" t="s">
        <v>20</v>
      </c>
      <c r="C1963" s="3" t="str">
        <f>HYPERLINK("https://springer.com/41437")</f>
        <v>https://springer.com/41437</v>
      </c>
      <c r="D1963" s="2" t="s">
        <v>3961</v>
      </c>
      <c r="E1963" s="2" t="s">
        <v>8</v>
      </c>
    </row>
    <row r="1964" spans="1:5" ht="12.75" customHeight="1" x14ac:dyDescent="0.3">
      <c r="A1964" s="2" t="s">
        <v>3962</v>
      </c>
      <c r="B1964" s="2" t="s">
        <v>78</v>
      </c>
      <c r="C1964" s="3" t="str">
        <f>HYPERLINK("https://springer.com/41440")</f>
        <v>https://springer.com/41440</v>
      </c>
      <c r="D1964" s="2" t="s">
        <v>3963</v>
      </c>
      <c r="E1964" s="2" t="s">
        <v>8</v>
      </c>
    </row>
    <row r="1965" spans="1:5" ht="12.75" customHeight="1" x14ac:dyDescent="0.3">
      <c r="A1965" s="2" t="s">
        <v>3964</v>
      </c>
      <c r="B1965" s="2" t="s">
        <v>78</v>
      </c>
      <c r="C1965" s="3" t="str">
        <f>HYPERLINK("https://springer.com/41443")</f>
        <v>https://springer.com/41443</v>
      </c>
      <c r="D1965" s="2" t="s">
        <v>3965</v>
      </c>
      <c r="E1965" s="2" t="s">
        <v>8</v>
      </c>
    </row>
    <row r="1966" spans="1:5" ht="12.75" customHeight="1" x14ac:dyDescent="0.3">
      <c r="A1966" s="2" t="s">
        <v>3966</v>
      </c>
      <c r="B1966" s="2" t="s">
        <v>56</v>
      </c>
      <c r="C1966" s="3" t="str">
        <f>HYPERLINK("https://springer.com/41449")</f>
        <v>https://springer.com/41449</v>
      </c>
      <c r="D1966" s="2" t="s">
        <v>3967</v>
      </c>
      <c r="E1966" s="2" t="s">
        <v>8</v>
      </c>
    </row>
    <row r="1967" spans="1:5" ht="12.75" customHeight="1" x14ac:dyDescent="0.3">
      <c r="A1967" s="2" t="s">
        <v>3968</v>
      </c>
      <c r="B1967" s="2" t="s">
        <v>868</v>
      </c>
      <c r="C1967" s="3" t="str">
        <f>HYPERLINK("https://springer.com/41463")</f>
        <v>https://springer.com/41463</v>
      </c>
      <c r="D1967" s="2" t="s">
        <v>3969</v>
      </c>
      <c r="E1967" s="2" t="s">
        <v>8</v>
      </c>
    </row>
    <row r="1968" spans="1:5" ht="12.75" customHeight="1" x14ac:dyDescent="0.3">
      <c r="A1968" s="2" t="s">
        <v>3970</v>
      </c>
      <c r="B1968" s="2" t="s">
        <v>443</v>
      </c>
      <c r="C1968" s="3" t="str">
        <f>HYPERLINK("https://springer.com/41465")</f>
        <v>https://springer.com/41465</v>
      </c>
      <c r="D1968" s="2" t="s">
        <v>3971</v>
      </c>
      <c r="E1968" s="2" t="s">
        <v>8</v>
      </c>
    </row>
    <row r="1969" spans="1:5" ht="12.75" customHeight="1" x14ac:dyDescent="0.3">
      <c r="A1969" s="2" t="s">
        <v>3972</v>
      </c>
      <c r="B1969" s="2" t="s">
        <v>10</v>
      </c>
      <c r="C1969" s="3" t="str">
        <f>HYPERLINK("https://springer.com/41468")</f>
        <v>https://springer.com/41468</v>
      </c>
      <c r="D1969" s="2" t="s">
        <v>3973</v>
      </c>
      <c r="E1969" s="2" t="s">
        <v>8</v>
      </c>
    </row>
    <row r="1970" spans="1:5" ht="12.75" customHeight="1" x14ac:dyDescent="0.3">
      <c r="A1970" s="2" t="s">
        <v>3974</v>
      </c>
      <c r="B1970" s="2" t="s">
        <v>181</v>
      </c>
      <c r="C1970" s="3" t="str">
        <f>HYPERLINK("https://springer.com/41469")</f>
        <v>https://springer.com/41469</v>
      </c>
      <c r="D1970" s="2" t="s">
        <v>3975</v>
      </c>
      <c r="E1970" s="2" t="s">
        <v>8</v>
      </c>
    </row>
    <row r="1971" spans="1:5" ht="12.75" customHeight="1" x14ac:dyDescent="0.3">
      <c r="A1971" s="2" t="s">
        <v>3976</v>
      </c>
      <c r="B1971" s="2" t="s">
        <v>10</v>
      </c>
      <c r="C1971" s="3" t="str">
        <f>HYPERLINK("https://springer.com/41478")</f>
        <v>https://springer.com/41478</v>
      </c>
      <c r="D1971" s="2" t="s">
        <v>3977</v>
      </c>
      <c r="E1971" s="2" t="s">
        <v>8</v>
      </c>
    </row>
    <row r="1972" spans="1:5" ht="12.75" customHeight="1" x14ac:dyDescent="0.3">
      <c r="A1972" s="2" t="s">
        <v>3978</v>
      </c>
      <c r="B1972" s="2" t="s">
        <v>26</v>
      </c>
      <c r="C1972" s="3" t="str">
        <f>HYPERLINK("https://springer.com/41513")</f>
        <v>https://springer.com/41513</v>
      </c>
      <c r="D1972" s="2" t="s">
        <v>3979</v>
      </c>
      <c r="E1972" s="2" t="s">
        <v>8</v>
      </c>
    </row>
    <row r="1973" spans="1:5" ht="12.75" customHeight="1" x14ac:dyDescent="0.3">
      <c r="A1973" s="2" t="s">
        <v>3980</v>
      </c>
      <c r="B1973" s="2" t="s">
        <v>443</v>
      </c>
      <c r="C1973" s="3" t="str">
        <f>HYPERLINK("https://springer.com/41542")</f>
        <v>https://springer.com/41542</v>
      </c>
      <c r="D1973" s="2" t="s">
        <v>3981</v>
      </c>
      <c r="E1973" s="2" t="s">
        <v>8</v>
      </c>
    </row>
    <row r="1974" spans="1:5" ht="12.75" customHeight="1" x14ac:dyDescent="0.3">
      <c r="A1974" s="2" t="s">
        <v>3982</v>
      </c>
      <c r="B1974" s="2" t="s">
        <v>82</v>
      </c>
      <c r="C1974" s="3" t="str">
        <f>HYPERLINK("https://springer.com/41547")</f>
        <v>https://springer.com/41547</v>
      </c>
      <c r="D1974" s="2" t="s">
        <v>3983</v>
      </c>
      <c r="E1974" s="2" t="s">
        <v>8</v>
      </c>
    </row>
    <row r="1975" spans="1:5" ht="12.75" customHeight="1" x14ac:dyDescent="0.3">
      <c r="A1975" s="2" t="s">
        <v>3984</v>
      </c>
      <c r="B1975" s="2" t="s">
        <v>151</v>
      </c>
      <c r="C1975" s="3" t="str">
        <f>HYPERLINK("https://springer.com/41549")</f>
        <v>https://springer.com/41549</v>
      </c>
      <c r="D1975" s="2" t="s">
        <v>3985</v>
      </c>
      <c r="E1975" s="2" t="s">
        <v>8</v>
      </c>
    </row>
    <row r="1976" spans="1:5" ht="12.75" customHeight="1" x14ac:dyDescent="0.3">
      <c r="A1976" s="2" t="s">
        <v>3986</v>
      </c>
      <c r="B1976" s="2" t="s">
        <v>794</v>
      </c>
      <c r="C1976" s="3" t="str">
        <f>HYPERLINK("https://springer.com/41603")</f>
        <v>https://springer.com/41603</v>
      </c>
      <c r="D1976" s="2" t="s">
        <v>3987</v>
      </c>
      <c r="E1976" s="2" t="s">
        <v>8</v>
      </c>
    </row>
    <row r="1977" spans="1:5" ht="12.75" customHeight="1" x14ac:dyDescent="0.3">
      <c r="A1977" s="2" t="s">
        <v>3988</v>
      </c>
      <c r="B1977" s="2" t="s">
        <v>13</v>
      </c>
      <c r="C1977" s="3" t="str">
        <f>HYPERLINK("https://springer.com/41605")</f>
        <v>https://springer.com/41605</v>
      </c>
      <c r="D1977" s="2" t="s">
        <v>3989</v>
      </c>
      <c r="E1977" s="2" t="s">
        <v>8</v>
      </c>
    </row>
    <row r="1978" spans="1:5" ht="12.75" customHeight="1" x14ac:dyDescent="0.3">
      <c r="A1978" s="2" t="s">
        <v>3990</v>
      </c>
      <c r="B1978" s="2" t="s">
        <v>13</v>
      </c>
      <c r="C1978" s="3" t="str">
        <f>HYPERLINK("https://springer.com/41614")</f>
        <v>https://springer.com/41614</v>
      </c>
      <c r="D1978" s="2" t="s">
        <v>3991</v>
      </c>
      <c r="E1978" s="2" t="s">
        <v>8</v>
      </c>
    </row>
    <row r="1979" spans="1:5" ht="12.75" customHeight="1" x14ac:dyDescent="0.3">
      <c r="A1979" s="2" t="s">
        <v>3992</v>
      </c>
      <c r="B1979" s="2" t="s">
        <v>56</v>
      </c>
      <c r="C1979" s="3" t="str">
        <f>HYPERLINK("https://springer.com/41635")</f>
        <v>https://springer.com/41635</v>
      </c>
      <c r="D1979" s="2" t="s">
        <v>3993</v>
      </c>
      <c r="E1979" s="2" t="s">
        <v>8</v>
      </c>
    </row>
    <row r="1980" spans="1:5" ht="12.75" customHeight="1" x14ac:dyDescent="0.3">
      <c r="A1980" s="2" t="s">
        <v>3994</v>
      </c>
      <c r="B1980" s="2" t="s">
        <v>794</v>
      </c>
      <c r="C1980" s="3" t="str">
        <f>HYPERLINK("https://springer.com/41636")</f>
        <v>https://springer.com/41636</v>
      </c>
      <c r="D1980" s="2" t="s">
        <v>3995</v>
      </c>
      <c r="E1980" s="2" t="s">
        <v>8</v>
      </c>
    </row>
    <row r="1981" spans="1:5" ht="12.75" customHeight="1" x14ac:dyDescent="0.3">
      <c r="A1981" s="2" t="s">
        <v>3996</v>
      </c>
      <c r="B1981" s="2" t="s">
        <v>868</v>
      </c>
      <c r="C1981" s="3" t="str">
        <f>HYPERLINK("https://springer.com/41649")</f>
        <v>https://springer.com/41649</v>
      </c>
      <c r="D1981" s="2" t="s">
        <v>3997</v>
      </c>
      <c r="E1981" s="2" t="s">
        <v>8</v>
      </c>
    </row>
    <row r="1982" spans="1:5" ht="12.75" customHeight="1" x14ac:dyDescent="0.3">
      <c r="A1982" s="2" t="s">
        <v>3998</v>
      </c>
      <c r="B1982" s="2" t="s">
        <v>528</v>
      </c>
      <c r="C1982" s="3" t="str">
        <f>HYPERLINK("https://springer.com/41651")</f>
        <v>https://springer.com/41651</v>
      </c>
      <c r="D1982" s="2" t="s">
        <v>3999</v>
      </c>
      <c r="E1982" s="2" t="s">
        <v>8</v>
      </c>
    </row>
    <row r="1983" spans="1:5" ht="12.75" customHeight="1" x14ac:dyDescent="0.3">
      <c r="A1983" s="2" t="s">
        <v>4000</v>
      </c>
      <c r="B1983" s="2" t="s">
        <v>56</v>
      </c>
      <c r="C1983" s="3" t="str">
        <f>HYPERLINK("https://springer.com/41660")</f>
        <v>https://springer.com/41660</v>
      </c>
      <c r="D1983" s="2" t="s">
        <v>4001</v>
      </c>
      <c r="E1983" s="2" t="s">
        <v>8</v>
      </c>
    </row>
    <row r="1984" spans="1:5" ht="12.75" customHeight="1" x14ac:dyDescent="0.3">
      <c r="A1984" s="2" t="s">
        <v>4002</v>
      </c>
      <c r="B1984" s="2" t="s">
        <v>218</v>
      </c>
      <c r="C1984" s="3" t="str">
        <f>HYPERLINK("https://springer.com/41664")</f>
        <v>https://springer.com/41664</v>
      </c>
      <c r="D1984" s="2" t="s">
        <v>4003</v>
      </c>
      <c r="E1984" s="2" t="s">
        <v>8</v>
      </c>
    </row>
    <row r="1985" spans="1:5" ht="12.75" customHeight="1" x14ac:dyDescent="0.3">
      <c r="A1985" s="2" t="s">
        <v>4004</v>
      </c>
      <c r="B1985" s="2" t="s">
        <v>63</v>
      </c>
      <c r="C1985" s="3" t="str">
        <f>HYPERLINK("https://springer.com/41666")</f>
        <v>https://springer.com/41666</v>
      </c>
      <c r="D1985" s="2" t="s">
        <v>4005</v>
      </c>
      <c r="E1985" s="2" t="s">
        <v>8</v>
      </c>
    </row>
    <row r="1986" spans="1:5" ht="12.75" customHeight="1" x14ac:dyDescent="0.3">
      <c r="A1986" s="2" t="s">
        <v>4006</v>
      </c>
      <c r="B1986" s="2" t="s">
        <v>794</v>
      </c>
      <c r="C1986" s="3" t="str">
        <f>HYPERLINK("https://springer.com/41682")</f>
        <v>https://springer.com/41682</v>
      </c>
      <c r="D1986" s="2" t="s">
        <v>4007</v>
      </c>
      <c r="E1986" s="2" t="s">
        <v>8</v>
      </c>
    </row>
    <row r="1987" spans="1:5" ht="12.75" customHeight="1" x14ac:dyDescent="0.3">
      <c r="A1987" s="2" t="s">
        <v>4008</v>
      </c>
      <c r="B1987" s="2" t="s">
        <v>56</v>
      </c>
      <c r="C1987" s="3" t="str">
        <f>HYPERLINK("https://springer.com/41683")</f>
        <v>https://springer.com/41683</v>
      </c>
      <c r="D1987" s="2" t="s">
        <v>4009</v>
      </c>
      <c r="E1987" s="2" t="s">
        <v>8</v>
      </c>
    </row>
    <row r="1988" spans="1:5" ht="12.75" customHeight="1" x14ac:dyDescent="0.3">
      <c r="A1988" s="2" t="s">
        <v>4010</v>
      </c>
      <c r="B1988" s="2" t="s">
        <v>6</v>
      </c>
      <c r="C1988" s="3" t="str">
        <f>HYPERLINK("https://springer.com/41684")</f>
        <v>https://springer.com/41684</v>
      </c>
      <c r="D1988" s="2" t="s">
        <v>4011</v>
      </c>
      <c r="E1988" s="2" t="s">
        <v>8</v>
      </c>
    </row>
    <row r="1989" spans="1:5" ht="12.75" customHeight="1" x14ac:dyDescent="0.3">
      <c r="A1989" s="2" t="s">
        <v>4012</v>
      </c>
      <c r="B1989" s="2" t="s">
        <v>151</v>
      </c>
      <c r="C1989" s="3" t="str">
        <f>HYPERLINK("https://springer.com/41685")</f>
        <v>https://springer.com/41685</v>
      </c>
      <c r="D1989" s="2" t="s">
        <v>4013</v>
      </c>
      <c r="E1989" s="2" t="s">
        <v>8</v>
      </c>
    </row>
    <row r="1990" spans="1:5" ht="12.75" customHeight="1" x14ac:dyDescent="0.3">
      <c r="A1990" s="2" t="s">
        <v>4014</v>
      </c>
      <c r="B1990" s="2" t="s">
        <v>753</v>
      </c>
      <c r="C1990" s="3" t="str">
        <f>HYPERLINK("https://springer.com/41686")</f>
        <v>https://springer.com/41686</v>
      </c>
      <c r="D1990" s="2" t="s">
        <v>4015</v>
      </c>
      <c r="E1990" s="2" t="s">
        <v>8</v>
      </c>
    </row>
    <row r="1991" spans="1:5" ht="12.75" customHeight="1" x14ac:dyDescent="0.3">
      <c r="A1991" s="2" t="s">
        <v>4016</v>
      </c>
      <c r="B1991" s="2" t="s">
        <v>56</v>
      </c>
      <c r="C1991" s="3" t="str">
        <f>HYPERLINK("https://springer.com/41693")</f>
        <v>https://springer.com/41693</v>
      </c>
      <c r="D1991" s="2" t="s">
        <v>4017</v>
      </c>
      <c r="E1991" s="2" t="s">
        <v>8</v>
      </c>
    </row>
    <row r="1992" spans="1:5" ht="12.75" customHeight="1" x14ac:dyDescent="0.3">
      <c r="A1992" s="2" t="s">
        <v>4018</v>
      </c>
      <c r="B1992" s="2" t="s">
        <v>1030</v>
      </c>
      <c r="C1992" s="3" t="str">
        <f>HYPERLINK("https://springer.com/41701")</f>
        <v>https://springer.com/41701</v>
      </c>
      <c r="D1992" s="2" t="s">
        <v>4019</v>
      </c>
      <c r="E1992" s="2" t="s">
        <v>8</v>
      </c>
    </row>
    <row r="1993" spans="1:5" ht="12.75" customHeight="1" x14ac:dyDescent="0.3">
      <c r="A1993" s="2" t="s">
        <v>4020</v>
      </c>
      <c r="B1993" s="2" t="s">
        <v>133</v>
      </c>
      <c r="C1993" s="3" t="str">
        <f>HYPERLINK("https://springer.com/41742")</f>
        <v>https://springer.com/41742</v>
      </c>
      <c r="D1993" s="2" t="s">
        <v>4021</v>
      </c>
      <c r="E1993" s="2" t="s">
        <v>8</v>
      </c>
    </row>
    <row r="1994" spans="1:5" ht="12.75" customHeight="1" x14ac:dyDescent="0.3">
      <c r="A1994" s="2" t="s">
        <v>4022</v>
      </c>
      <c r="B1994" s="2" t="s">
        <v>396</v>
      </c>
      <c r="C1994" s="3" t="str">
        <f>HYPERLINK("https://springer.com/41745")</f>
        <v>https://springer.com/41745</v>
      </c>
      <c r="D1994" s="2" t="s">
        <v>4023</v>
      </c>
      <c r="E1994" s="2" t="s">
        <v>8</v>
      </c>
    </row>
    <row r="1995" spans="1:5" ht="12.75" customHeight="1" x14ac:dyDescent="0.3">
      <c r="A1995" s="2" t="s">
        <v>4024</v>
      </c>
      <c r="B1995" s="2" t="s">
        <v>26</v>
      </c>
      <c r="C1995" s="3" t="str">
        <f>HYPERLINK("https://springer.com/41748")</f>
        <v>https://springer.com/41748</v>
      </c>
      <c r="D1995" s="2" t="s">
        <v>4025</v>
      </c>
      <c r="E1995" s="2" t="s">
        <v>8</v>
      </c>
    </row>
    <row r="1996" spans="1:5" ht="12.75" customHeight="1" x14ac:dyDescent="0.3">
      <c r="A1996" s="2" t="s">
        <v>4026</v>
      </c>
      <c r="B1996" s="2" t="s">
        <v>151</v>
      </c>
      <c r="C1996" s="3" t="str">
        <f>HYPERLINK("https://springer.com/41775")</f>
        <v>https://springer.com/41775</v>
      </c>
      <c r="D1996" s="2" t="s">
        <v>4027</v>
      </c>
      <c r="E1996" s="2" t="s">
        <v>8</v>
      </c>
    </row>
    <row r="1997" spans="1:5" ht="12.75" customHeight="1" x14ac:dyDescent="0.3">
      <c r="A1997" s="2" t="s">
        <v>4028</v>
      </c>
      <c r="B1997" s="2" t="s">
        <v>396</v>
      </c>
      <c r="C1997" s="3" t="str">
        <f>HYPERLINK("https://springer.com/41779")</f>
        <v>https://springer.com/41779</v>
      </c>
      <c r="D1997" s="2" t="s">
        <v>4029</v>
      </c>
      <c r="E1997" s="2" t="s">
        <v>8</v>
      </c>
    </row>
    <row r="1998" spans="1:5" ht="12.75" customHeight="1" x14ac:dyDescent="0.3">
      <c r="A1998" s="2" t="s">
        <v>4030</v>
      </c>
      <c r="B1998" s="2" t="s">
        <v>20</v>
      </c>
      <c r="C1998" s="3" t="str">
        <f>HYPERLINK("https://springer.com/41782")</f>
        <v>https://springer.com/41782</v>
      </c>
      <c r="D1998" s="2" t="s">
        <v>4031</v>
      </c>
      <c r="E1998" s="2" t="s">
        <v>8</v>
      </c>
    </row>
    <row r="1999" spans="1:5" ht="12.75" customHeight="1" x14ac:dyDescent="0.3">
      <c r="A1999" s="2" t="s">
        <v>4032</v>
      </c>
      <c r="B1999" s="2" t="s">
        <v>56</v>
      </c>
      <c r="C1999" s="3" t="str">
        <f>HYPERLINK("https://springer.com/41783")</f>
        <v>https://springer.com/41783</v>
      </c>
      <c r="D1999" s="2" t="s">
        <v>4033</v>
      </c>
      <c r="E1999" s="2" t="s">
        <v>8</v>
      </c>
    </row>
    <row r="2000" spans="1:5" ht="12.75" customHeight="1" x14ac:dyDescent="0.3">
      <c r="A2000" s="2" t="s">
        <v>4034</v>
      </c>
      <c r="B2000" s="2" t="s">
        <v>10</v>
      </c>
      <c r="C2000" s="3" t="str">
        <f>HYPERLINK("https://springer.com/41808")</f>
        <v>https://springer.com/41808</v>
      </c>
      <c r="D2000" s="2" t="s">
        <v>4035</v>
      </c>
      <c r="E2000" s="2" t="s">
        <v>8</v>
      </c>
    </row>
    <row r="2001" spans="1:5" ht="12.75" customHeight="1" x14ac:dyDescent="0.3">
      <c r="A2001" s="2" t="s">
        <v>4036</v>
      </c>
      <c r="B2001" s="2" t="s">
        <v>443</v>
      </c>
      <c r="C2001" s="3" t="str">
        <f>HYPERLINK("https://springer.com/41809")</f>
        <v>https://springer.com/41809</v>
      </c>
      <c r="D2001" s="2" t="s">
        <v>4037</v>
      </c>
      <c r="E2001" s="2" t="s">
        <v>8</v>
      </c>
    </row>
    <row r="2002" spans="1:5" ht="12.75" customHeight="1" x14ac:dyDescent="0.3">
      <c r="A2002" s="2" t="s">
        <v>4038</v>
      </c>
      <c r="B2002" s="2" t="s">
        <v>26</v>
      </c>
      <c r="C2002" s="3" t="str">
        <f>HYPERLINK("https://springer.com/41810")</f>
        <v>https://springer.com/41810</v>
      </c>
      <c r="D2002" s="2" t="s">
        <v>4039</v>
      </c>
      <c r="E2002" s="2" t="s">
        <v>8</v>
      </c>
    </row>
    <row r="2003" spans="1:5" ht="12.75" customHeight="1" x14ac:dyDescent="0.3">
      <c r="A2003" s="2" t="s">
        <v>4040</v>
      </c>
      <c r="B2003" s="2" t="s">
        <v>443</v>
      </c>
      <c r="C2003" s="3" t="str">
        <f>HYPERLINK("https://springer.com/41811")</f>
        <v>https://springer.com/41811</v>
      </c>
      <c r="D2003" s="2" t="s">
        <v>4041</v>
      </c>
      <c r="E2003" s="2" t="s">
        <v>8</v>
      </c>
    </row>
    <row r="2004" spans="1:5" ht="12.75" customHeight="1" x14ac:dyDescent="0.3">
      <c r="A2004" s="2" t="s">
        <v>4042</v>
      </c>
      <c r="B2004" s="2" t="s">
        <v>794</v>
      </c>
      <c r="C2004" s="3" t="str">
        <f>HYPERLINK("https://springer.com/41826")</f>
        <v>https://springer.com/41826</v>
      </c>
      <c r="D2004" s="2" t="s">
        <v>4043</v>
      </c>
      <c r="E2004" s="2" t="s">
        <v>8</v>
      </c>
    </row>
    <row r="2005" spans="1:5" ht="12.75" customHeight="1" x14ac:dyDescent="0.3">
      <c r="A2005" s="2" t="s">
        <v>4044</v>
      </c>
      <c r="B2005" s="2" t="s">
        <v>63</v>
      </c>
      <c r="C2005" s="3" t="str">
        <f>HYPERLINK("https://springer.com/41870")</f>
        <v>https://springer.com/41870</v>
      </c>
      <c r="D2005" s="2" t="s">
        <v>4045</v>
      </c>
      <c r="E2005" s="2" t="s">
        <v>8</v>
      </c>
    </row>
    <row r="2006" spans="1:5" ht="12.75" customHeight="1" x14ac:dyDescent="0.3">
      <c r="A2006" s="2" t="s">
        <v>4046</v>
      </c>
      <c r="B2006" s="2" t="s">
        <v>56</v>
      </c>
      <c r="C2006" s="3" t="str">
        <f>HYPERLINK("https://springer.com/41872")</f>
        <v>https://springer.com/41872</v>
      </c>
      <c r="D2006" s="2" t="s">
        <v>4047</v>
      </c>
      <c r="E2006" s="2" t="s">
        <v>8</v>
      </c>
    </row>
    <row r="2007" spans="1:5" ht="12.75" customHeight="1" x14ac:dyDescent="0.3">
      <c r="A2007" s="2" t="s">
        <v>4048</v>
      </c>
      <c r="B2007" s="2" t="s">
        <v>10</v>
      </c>
      <c r="C2007" s="3" t="str">
        <f>HYPERLINK("https://springer.com/41884")</f>
        <v>https://springer.com/41884</v>
      </c>
      <c r="D2007" s="2" t="s">
        <v>4049</v>
      </c>
      <c r="E2007" s="2" t="s">
        <v>8</v>
      </c>
    </row>
    <row r="2008" spans="1:5" ht="12.75" customHeight="1" x14ac:dyDescent="0.3">
      <c r="A2008" s="2" t="s">
        <v>4050</v>
      </c>
      <c r="B2008" s="2" t="s">
        <v>151</v>
      </c>
      <c r="C2008" s="3" t="str">
        <f>HYPERLINK("https://springer.com/41885")</f>
        <v>https://springer.com/41885</v>
      </c>
      <c r="D2008" s="2" t="s">
        <v>4051</v>
      </c>
      <c r="E2008" s="2" t="s">
        <v>8</v>
      </c>
    </row>
    <row r="2009" spans="1:5" ht="12.75" customHeight="1" x14ac:dyDescent="0.3">
      <c r="A2009" s="2" t="s">
        <v>4052</v>
      </c>
      <c r="B2009" s="2" t="s">
        <v>82</v>
      </c>
      <c r="C2009" s="3" t="str">
        <f>HYPERLINK("https://springer.com/41894")</f>
        <v>https://springer.com/41894</v>
      </c>
      <c r="D2009" s="2" t="s">
        <v>4053</v>
      </c>
      <c r="E2009" s="2" t="s">
        <v>8</v>
      </c>
    </row>
    <row r="2010" spans="1:5" ht="12.75" customHeight="1" x14ac:dyDescent="0.3">
      <c r="A2010" s="2" t="s">
        <v>4054</v>
      </c>
      <c r="B2010" s="2" t="s">
        <v>218</v>
      </c>
      <c r="C2010" s="3" t="str">
        <f>HYPERLINK("https://springer.com/41918")</f>
        <v>https://springer.com/41918</v>
      </c>
      <c r="D2010" s="2" t="s">
        <v>4055</v>
      </c>
      <c r="E2010" s="2" t="s">
        <v>8</v>
      </c>
    </row>
    <row r="2011" spans="1:5" ht="12.75" customHeight="1" x14ac:dyDescent="0.3">
      <c r="A2011" s="2" t="s">
        <v>4056</v>
      </c>
      <c r="B2011" s="2" t="s">
        <v>56</v>
      </c>
      <c r="C2011" s="3" t="str">
        <f>HYPERLINK("https://springer.com/41939")</f>
        <v>https://springer.com/41939</v>
      </c>
      <c r="D2011" s="2" t="s">
        <v>4057</v>
      </c>
      <c r="E2011" s="2" t="s">
        <v>8</v>
      </c>
    </row>
    <row r="2012" spans="1:5" ht="12.75" customHeight="1" x14ac:dyDescent="0.3">
      <c r="A2012" s="2" t="s">
        <v>4058</v>
      </c>
      <c r="B2012" s="2" t="s">
        <v>753</v>
      </c>
      <c r="C2012" s="3" t="str">
        <f>HYPERLINK("https://springer.com/41959")</f>
        <v>https://springer.com/41959</v>
      </c>
      <c r="D2012" s="2" t="s">
        <v>4059</v>
      </c>
      <c r="E2012" s="2" t="s">
        <v>8</v>
      </c>
    </row>
    <row r="2013" spans="1:5" ht="12.75" customHeight="1" x14ac:dyDescent="0.3">
      <c r="A2013" s="2" t="s">
        <v>4060</v>
      </c>
      <c r="B2013" s="2" t="s">
        <v>63</v>
      </c>
      <c r="C2013" s="3" t="str">
        <f>HYPERLINK("https://springer.com/41965")</f>
        <v>https://springer.com/41965</v>
      </c>
      <c r="D2013" s="2" t="s">
        <v>4061</v>
      </c>
      <c r="E2013" s="2" t="s">
        <v>8</v>
      </c>
    </row>
    <row r="2014" spans="1:5" ht="12.75" customHeight="1" x14ac:dyDescent="0.3">
      <c r="A2014" s="2" t="s">
        <v>4062</v>
      </c>
      <c r="B2014" s="2" t="s">
        <v>78</v>
      </c>
      <c r="C2014" s="3" t="str">
        <f>HYPERLINK("https://springer.com/41969")</f>
        <v>https://springer.com/41969</v>
      </c>
      <c r="D2014" s="2" t="s">
        <v>4063</v>
      </c>
      <c r="E2014" s="2" t="s">
        <v>8</v>
      </c>
    </row>
    <row r="2015" spans="1:5" ht="12.75" customHeight="1" x14ac:dyDescent="0.3">
      <c r="A2015" s="2" t="s">
        <v>4064</v>
      </c>
      <c r="B2015" s="2" t="s">
        <v>78</v>
      </c>
      <c r="C2015" s="3" t="str">
        <f>HYPERLINK("https://springer.com/41971")</f>
        <v>https://springer.com/41971</v>
      </c>
      <c r="D2015" s="2" t="s">
        <v>4065</v>
      </c>
      <c r="E2015" s="2" t="s">
        <v>8</v>
      </c>
    </row>
    <row r="2016" spans="1:5" ht="12.75" customHeight="1" x14ac:dyDescent="0.3">
      <c r="A2016" s="2" t="s">
        <v>4066</v>
      </c>
      <c r="B2016" s="2" t="s">
        <v>78</v>
      </c>
      <c r="C2016" s="3" t="str">
        <f>HYPERLINK("https://springer.com/41973")</f>
        <v>https://springer.com/41973</v>
      </c>
      <c r="D2016" s="2" t="s">
        <v>4067</v>
      </c>
      <c r="E2016" s="2" t="s">
        <v>8</v>
      </c>
    </row>
    <row r="2017" spans="1:5" ht="12.75" customHeight="1" x14ac:dyDescent="0.3">
      <c r="A2017" s="2" t="s">
        <v>4068</v>
      </c>
      <c r="B2017" s="2" t="s">
        <v>78</v>
      </c>
      <c r="C2017" s="3" t="str">
        <f>HYPERLINK("https://springer.com/41974")</f>
        <v>https://springer.com/41974</v>
      </c>
      <c r="D2017" s="2" t="s">
        <v>4069</v>
      </c>
      <c r="E2017" s="2" t="s">
        <v>8</v>
      </c>
    </row>
    <row r="2018" spans="1:5" ht="12.75" customHeight="1" x14ac:dyDescent="0.3">
      <c r="A2018" s="2" t="s">
        <v>4070</v>
      </c>
      <c r="B2018" s="2" t="s">
        <v>78</v>
      </c>
      <c r="C2018" s="3" t="str">
        <f>HYPERLINK("https://springer.com/41975")</f>
        <v>https://springer.com/41975</v>
      </c>
      <c r="D2018" s="2" t="s">
        <v>4071</v>
      </c>
      <c r="E2018" s="2" t="s">
        <v>8</v>
      </c>
    </row>
    <row r="2019" spans="1:5" ht="12.75" customHeight="1" x14ac:dyDescent="0.3">
      <c r="A2019" s="2" t="s">
        <v>4072</v>
      </c>
      <c r="B2019" s="2" t="s">
        <v>528</v>
      </c>
      <c r="C2019" s="3" t="str">
        <f>HYPERLINK("https://springer.com/41976")</f>
        <v>https://springer.com/41976</v>
      </c>
      <c r="D2019" s="2" t="s">
        <v>4073</v>
      </c>
      <c r="E2019" s="2" t="s">
        <v>8</v>
      </c>
    </row>
    <row r="2020" spans="1:5" ht="12.75" customHeight="1" x14ac:dyDescent="0.3">
      <c r="A2020" s="2" t="s">
        <v>4074</v>
      </c>
      <c r="B2020" s="2" t="s">
        <v>794</v>
      </c>
      <c r="C2020" s="3" t="str">
        <f>HYPERLINK("https://springer.com/41978")</f>
        <v>https://springer.com/41978</v>
      </c>
      <c r="D2020" s="2" t="s">
        <v>4075</v>
      </c>
      <c r="E2020" s="2" t="s">
        <v>8</v>
      </c>
    </row>
    <row r="2021" spans="1:5" ht="12.75" customHeight="1" x14ac:dyDescent="0.3">
      <c r="A2021" s="2" t="s">
        <v>4076</v>
      </c>
      <c r="B2021" s="2" t="s">
        <v>753</v>
      </c>
      <c r="C2021" s="3" t="str">
        <f>HYPERLINK("https://springer.com/41979")</f>
        <v>https://springer.com/41979</v>
      </c>
      <c r="D2021" s="2" t="s">
        <v>4077</v>
      </c>
      <c r="E2021" s="2" t="s">
        <v>8</v>
      </c>
    </row>
    <row r="2022" spans="1:5" ht="12.75" customHeight="1" x14ac:dyDescent="0.3">
      <c r="A2022" s="2" t="s">
        <v>4078</v>
      </c>
      <c r="B2022" s="2" t="s">
        <v>10</v>
      </c>
      <c r="C2022" s="3" t="str">
        <f>HYPERLINK("https://springer.com/41980")</f>
        <v>https://springer.com/41980</v>
      </c>
      <c r="D2022" s="2" t="s">
        <v>4079</v>
      </c>
      <c r="E2022" s="2" t="s">
        <v>8</v>
      </c>
    </row>
    <row r="2023" spans="1:5" ht="12.75" customHeight="1" x14ac:dyDescent="0.3">
      <c r="A2023" s="2" t="s">
        <v>4080</v>
      </c>
      <c r="B2023" s="2" t="s">
        <v>218</v>
      </c>
      <c r="C2023" s="3" t="str">
        <f>HYPERLINK("https://springer.com/41981")</f>
        <v>https://springer.com/41981</v>
      </c>
      <c r="D2023" s="2" t="s">
        <v>4081</v>
      </c>
      <c r="E2023" s="2" t="s">
        <v>8</v>
      </c>
    </row>
    <row r="2024" spans="1:5" ht="12.75" customHeight="1" x14ac:dyDescent="0.3">
      <c r="A2024" s="2" t="s">
        <v>4082</v>
      </c>
      <c r="B2024" s="2" t="s">
        <v>794</v>
      </c>
      <c r="C2024" s="3" t="str">
        <f>HYPERLINK("https://springer.com/41982")</f>
        <v>https://springer.com/41982</v>
      </c>
      <c r="D2024" s="2" t="s">
        <v>4083</v>
      </c>
      <c r="E2024" s="2" t="s">
        <v>8</v>
      </c>
    </row>
    <row r="2025" spans="1:5" ht="12.75" customHeight="1" x14ac:dyDescent="0.3">
      <c r="A2025" s="2" t="s">
        <v>4084</v>
      </c>
      <c r="B2025" s="2" t="s">
        <v>151</v>
      </c>
      <c r="C2025" s="3" t="str">
        <f>HYPERLINK("https://springer.com/41996")</f>
        <v>https://springer.com/41996</v>
      </c>
      <c r="D2025" s="2" t="s">
        <v>4085</v>
      </c>
      <c r="E2025" s="2" t="s">
        <v>8</v>
      </c>
    </row>
    <row r="2026" spans="1:5" ht="12.75" customHeight="1" x14ac:dyDescent="0.3">
      <c r="A2026" s="2" t="s">
        <v>4086</v>
      </c>
      <c r="B2026" s="2" t="s">
        <v>78</v>
      </c>
      <c r="C2026" s="3" t="str">
        <f>HYPERLINK("https://springer.com/41997")</f>
        <v>https://springer.com/41997</v>
      </c>
      <c r="D2026" s="2" t="s">
        <v>4087</v>
      </c>
      <c r="E2026" s="2" t="s">
        <v>8</v>
      </c>
    </row>
    <row r="2027" spans="1:5" ht="12.75" customHeight="1" x14ac:dyDescent="0.3">
      <c r="A2027" s="2" t="s">
        <v>4088</v>
      </c>
      <c r="B2027" s="2" t="s">
        <v>78</v>
      </c>
      <c r="C2027" s="3" t="str">
        <f>HYPERLINK("https://springer.com/41999")</f>
        <v>https://springer.com/41999</v>
      </c>
      <c r="D2027" s="2" t="s">
        <v>4089</v>
      </c>
      <c r="E2027" s="2" t="s">
        <v>8</v>
      </c>
    </row>
    <row r="2028" spans="1:5" ht="12.75" customHeight="1" x14ac:dyDescent="0.3">
      <c r="A2028" s="2" t="s">
        <v>4090</v>
      </c>
      <c r="B2028" s="2" t="s">
        <v>78</v>
      </c>
      <c r="C2028" s="3" t="str">
        <f>HYPERLINK("https://springer.com/42000")</f>
        <v>https://springer.com/42000</v>
      </c>
      <c r="D2028" s="2" t="s">
        <v>4091</v>
      </c>
      <c r="E2028" s="2" t="s">
        <v>8</v>
      </c>
    </row>
    <row r="2029" spans="1:5" ht="12.75" customHeight="1" x14ac:dyDescent="0.3">
      <c r="A2029" s="2" t="s">
        <v>4092</v>
      </c>
      <c r="B2029" s="2" t="s">
        <v>794</v>
      </c>
      <c r="C2029" s="3" t="str">
        <f>HYPERLINK("https://springer.com/42001")</f>
        <v>https://springer.com/42001</v>
      </c>
      <c r="D2029" s="2" t="s">
        <v>4093</v>
      </c>
      <c r="E2029" s="2" t="s">
        <v>8</v>
      </c>
    </row>
    <row r="2030" spans="1:5" ht="12.75" customHeight="1" x14ac:dyDescent="0.3">
      <c r="A2030" s="2" t="s">
        <v>4094</v>
      </c>
      <c r="B2030" s="2" t="s">
        <v>753</v>
      </c>
      <c r="C2030" s="3" t="str">
        <f>HYPERLINK("https://springer.com/42010")</f>
        <v>https://springer.com/42010</v>
      </c>
      <c r="D2030" s="2" t="s">
        <v>4095</v>
      </c>
      <c r="E2030" s="2" t="s">
        <v>8</v>
      </c>
    </row>
    <row r="2031" spans="1:5" ht="12.75" customHeight="1" x14ac:dyDescent="0.3">
      <c r="A2031" s="2" t="s">
        <v>4096</v>
      </c>
      <c r="B2031" s="2" t="s">
        <v>63</v>
      </c>
      <c r="C2031" s="3" t="str">
        <f>HYPERLINK("https://springer.com/42044")</f>
        <v>https://springer.com/42044</v>
      </c>
      <c r="D2031" s="2" t="s">
        <v>4097</v>
      </c>
      <c r="E2031" s="2" t="s">
        <v>8</v>
      </c>
    </row>
    <row r="2032" spans="1:5" ht="12.75" customHeight="1" x14ac:dyDescent="0.3">
      <c r="A2032" s="2" t="s">
        <v>4098</v>
      </c>
      <c r="B2032" s="2" t="s">
        <v>868</v>
      </c>
      <c r="C2032" s="3" t="str">
        <f>HYPERLINK("https://springer.com/42048")</f>
        <v>https://springer.com/42048</v>
      </c>
      <c r="D2032" s="2" t="s">
        <v>4099</v>
      </c>
      <c r="E2032" s="2" t="s">
        <v>8</v>
      </c>
    </row>
    <row r="2033" spans="1:5" ht="12.75" customHeight="1" x14ac:dyDescent="0.3">
      <c r="A2033" s="2" t="s">
        <v>4100</v>
      </c>
      <c r="B2033" s="2" t="s">
        <v>78</v>
      </c>
      <c r="C2033" s="3" t="str">
        <f>HYPERLINK("https://springer.com/42058")</f>
        <v>https://springer.com/42058</v>
      </c>
      <c r="D2033" s="2" t="s">
        <v>4101</v>
      </c>
      <c r="E2033" s="2" t="s">
        <v>8</v>
      </c>
    </row>
    <row r="2034" spans="1:5" ht="12.75" customHeight="1" x14ac:dyDescent="0.3">
      <c r="A2034" s="2" t="s">
        <v>4102</v>
      </c>
      <c r="B2034" s="2" t="s">
        <v>56</v>
      </c>
      <c r="C2034" s="3" t="str">
        <f>HYPERLINK("https://springer.com/42064")</f>
        <v>https://springer.com/42064</v>
      </c>
      <c r="D2034" s="2" t="s">
        <v>4103</v>
      </c>
      <c r="E2034" s="2" t="s">
        <v>8</v>
      </c>
    </row>
    <row r="2035" spans="1:5" ht="12.75" customHeight="1" x14ac:dyDescent="0.3">
      <c r="A2035" s="2" t="s">
        <v>4104</v>
      </c>
      <c r="B2035" s="2" t="s">
        <v>170</v>
      </c>
      <c r="C2035" s="3" t="str">
        <f>HYPERLINK("https://springer.com/42081")</f>
        <v>https://springer.com/42081</v>
      </c>
      <c r="D2035" s="2" t="s">
        <v>4105</v>
      </c>
      <c r="E2035" s="2" t="s">
        <v>8</v>
      </c>
    </row>
    <row r="2036" spans="1:5" ht="12.75" customHeight="1" x14ac:dyDescent="0.3">
      <c r="A2036" s="2" t="s">
        <v>4106</v>
      </c>
      <c r="B2036" s="2" t="s">
        <v>443</v>
      </c>
      <c r="C2036" s="3" t="str">
        <f>HYPERLINK("https://springer.com/42087")</f>
        <v>https://springer.com/42087</v>
      </c>
      <c r="D2036" s="2" t="s">
        <v>4107</v>
      </c>
      <c r="E2036" s="2" t="s">
        <v>8</v>
      </c>
    </row>
    <row r="2037" spans="1:5" ht="12.75" customHeight="1" x14ac:dyDescent="0.3">
      <c r="A2037" s="2" t="s">
        <v>4108</v>
      </c>
      <c r="B2037" s="2" t="s">
        <v>56</v>
      </c>
      <c r="C2037" s="3" t="str">
        <f>HYPERLINK("https://springer.com/42102")</f>
        <v>https://springer.com/42102</v>
      </c>
      <c r="D2037" s="2" t="s">
        <v>4109</v>
      </c>
      <c r="E2037" s="2" t="s">
        <v>8</v>
      </c>
    </row>
    <row r="2038" spans="1:5" ht="12.75" customHeight="1" x14ac:dyDescent="0.3">
      <c r="A2038" s="2" t="s">
        <v>4110</v>
      </c>
      <c r="B2038" s="2" t="s">
        <v>6</v>
      </c>
      <c r="C2038" s="3" t="str">
        <f>HYPERLINK("https://springer.com/42106")</f>
        <v>https://springer.com/42106</v>
      </c>
      <c r="D2038" s="2" t="s">
        <v>4111</v>
      </c>
      <c r="E2038" s="2" t="s">
        <v>8</v>
      </c>
    </row>
    <row r="2039" spans="1:5" ht="12.75" customHeight="1" x14ac:dyDescent="0.3">
      <c r="A2039" s="2" t="s">
        <v>4112</v>
      </c>
      <c r="B2039" s="2" t="s">
        <v>56</v>
      </c>
      <c r="C2039" s="3" t="str">
        <f>HYPERLINK("https://springer.com/42107")</f>
        <v>https://springer.com/42107</v>
      </c>
      <c r="D2039" s="2" t="s">
        <v>4113</v>
      </c>
      <c r="E2039" s="2" t="s">
        <v>8</v>
      </c>
    </row>
    <row r="2040" spans="1:5" ht="12.75" customHeight="1" x14ac:dyDescent="0.3">
      <c r="A2040" s="2" t="s">
        <v>4114</v>
      </c>
      <c r="B2040" s="2" t="s">
        <v>133</v>
      </c>
      <c r="C2040" s="3" t="str">
        <f>HYPERLINK("https://springer.com/42108")</f>
        <v>https://springer.com/42108</v>
      </c>
      <c r="D2040" s="2" t="s">
        <v>4115</v>
      </c>
      <c r="E2040" s="2" t="s">
        <v>8</v>
      </c>
    </row>
    <row r="2041" spans="1:5" ht="12.75" customHeight="1" x14ac:dyDescent="0.3">
      <c r="A2041" s="2" t="s">
        <v>4116</v>
      </c>
      <c r="B2041" s="2" t="s">
        <v>443</v>
      </c>
      <c r="C2041" s="3" t="str">
        <f>HYPERLINK("https://springer.com/42113")</f>
        <v>https://springer.com/42113</v>
      </c>
      <c r="D2041" s="2" t="s">
        <v>4117</v>
      </c>
      <c r="E2041" s="2" t="s">
        <v>8</v>
      </c>
    </row>
    <row r="2042" spans="1:5" ht="12.75" customHeight="1" x14ac:dyDescent="0.3">
      <c r="A2042" s="2" t="s">
        <v>4118</v>
      </c>
      <c r="B2042" s="2" t="s">
        <v>56</v>
      </c>
      <c r="C2042" s="3" t="str">
        <f>HYPERLINK("https://springer.com/42154")</f>
        <v>https://springer.com/42154</v>
      </c>
      <c r="D2042" s="2" t="s">
        <v>4119</v>
      </c>
      <c r="E2042" s="2" t="s">
        <v>8</v>
      </c>
    </row>
    <row r="2043" spans="1:5" ht="12.75" customHeight="1" x14ac:dyDescent="0.3">
      <c r="A2043" s="2" t="s">
        <v>4120</v>
      </c>
      <c r="B2043" s="2" t="s">
        <v>6</v>
      </c>
      <c r="C2043" s="3" t="str">
        <f>HYPERLINK("https://springer.com/42161")</f>
        <v>https://springer.com/42161</v>
      </c>
      <c r="D2043" s="2" t="s">
        <v>4121</v>
      </c>
      <c r="E2043" s="2" t="s">
        <v>8</v>
      </c>
    </row>
    <row r="2044" spans="1:5" ht="12.75" customHeight="1" x14ac:dyDescent="0.3">
      <c r="A2044" s="2" t="s">
        <v>4122</v>
      </c>
      <c r="B2044" s="2" t="s">
        <v>78</v>
      </c>
      <c r="C2044" s="3" t="str">
        <f>HYPERLINK("https://springer.com/42212")</f>
        <v>https://springer.com/42212</v>
      </c>
      <c r="D2044" s="2" t="s">
        <v>4123</v>
      </c>
      <c r="E2044" s="2" t="s">
        <v>8</v>
      </c>
    </row>
    <row r="2045" spans="1:5" ht="12.75" customHeight="1" x14ac:dyDescent="0.3">
      <c r="A2045" s="2" t="s">
        <v>4124</v>
      </c>
      <c r="B2045" s="2" t="s">
        <v>181</v>
      </c>
      <c r="C2045" s="3" t="str">
        <f>HYPERLINK("https://springer.com/42214")</f>
        <v>https://springer.com/42214</v>
      </c>
      <c r="D2045" s="2" t="s">
        <v>4125</v>
      </c>
      <c r="E2045" s="2" t="s">
        <v>8</v>
      </c>
    </row>
    <row r="2046" spans="1:5" ht="12.75" customHeight="1" x14ac:dyDescent="0.3">
      <c r="A2046" s="2" t="s">
        <v>4126</v>
      </c>
      <c r="B2046" s="2" t="s">
        <v>56</v>
      </c>
      <c r="C2046" s="3" t="str">
        <f>HYPERLINK("https://springer.com/42235")</f>
        <v>https://springer.com/42235</v>
      </c>
      <c r="D2046" s="2" t="s">
        <v>4127</v>
      </c>
      <c r="E2046" s="2" t="s">
        <v>8</v>
      </c>
    </row>
    <row r="2047" spans="1:5" ht="12.75" customHeight="1" x14ac:dyDescent="0.3">
      <c r="A2047" s="2" t="s">
        <v>4128</v>
      </c>
      <c r="B2047" s="2" t="s">
        <v>2034</v>
      </c>
      <c r="C2047" s="3" t="str">
        <f>HYPERLINK("https://springer.com/42240")</f>
        <v>https://springer.com/42240</v>
      </c>
      <c r="D2047" s="2" t="s">
        <v>4129</v>
      </c>
      <c r="E2047" s="2" t="s">
        <v>8</v>
      </c>
    </row>
    <row r="2048" spans="1:5" ht="12.75" customHeight="1" x14ac:dyDescent="0.3">
      <c r="A2048" s="2" t="s">
        <v>4130</v>
      </c>
      <c r="B2048" s="2" t="s">
        <v>56</v>
      </c>
      <c r="C2048" s="3" t="str">
        <f>HYPERLINK("https://springer.com/42241")</f>
        <v>https://springer.com/42241</v>
      </c>
      <c r="D2048" s="2" t="s">
        <v>4131</v>
      </c>
      <c r="E2048" s="2" t="s">
        <v>8</v>
      </c>
    </row>
    <row r="2049" spans="1:5" ht="12.75" customHeight="1" x14ac:dyDescent="0.3">
      <c r="A2049" s="2" t="s">
        <v>4132</v>
      </c>
      <c r="B2049" s="2" t="s">
        <v>56</v>
      </c>
      <c r="C2049" s="3" t="str">
        <f>HYPERLINK("https://springer.com/42242")</f>
        <v>https://springer.com/42242</v>
      </c>
      <c r="D2049" s="2" t="s">
        <v>4133</v>
      </c>
      <c r="E2049" s="2" t="s">
        <v>8</v>
      </c>
    </row>
    <row r="2050" spans="1:5" ht="12.75" customHeight="1" x14ac:dyDescent="0.3">
      <c r="A2050" s="2" t="s">
        <v>4134</v>
      </c>
      <c r="B2050" s="2" t="s">
        <v>56</v>
      </c>
      <c r="C2050" s="3" t="str">
        <f>HYPERLINK("https://springer.com/42243")</f>
        <v>https://springer.com/42243</v>
      </c>
      <c r="D2050" s="2" t="s">
        <v>4135</v>
      </c>
      <c r="E2050" s="2" t="s">
        <v>8</v>
      </c>
    </row>
    <row r="2051" spans="1:5" ht="12.75" customHeight="1" x14ac:dyDescent="0.3">
      <c r="A2051" s="2" t="s">
        <v>4136</v>
      </c>
      <c r="B2051" s="2" t="s">
        <v>396</v>
      </c>
      <c r="C2051" s="3" t="str">
        <f>HYPERLINK("https://springer.com/42247")</f>
        <v>https://springer.com/42247</v>
      </c>
      <c r="D2051" s="2" t="s">
        <v>4137</v>
      </c>
      <c r="E2051" s="2" t="s">
        <v>8</v>
      </c>
    </row>
    <row r="2052" spans="1:5" ht="12.75" customHeight="1" x14ac:dyDescent="0.3">
      <c r="A2052" s="2" t="s">
        <v>4138</v>
      </c>
      <c r="B2052" s="2" t="s">
        <v>218</v>
      </c>
      <c r="C2052" s="3" t="str">
        <f>HYPERLINK("https://springer.com/42250")</f>
        <v>https://springer.com/42250</v>
      </c>
      <c r="D2052" s="2" t="s">
        <v>4139</v>
      </c>
      <c r="E2052" s="2" t="s">
        <v>8</v>
      </c>
    </row>
    <row r="2053" spans="1:5" ht="12.75" customHeight="1" x14ac:dyDescent="0.3">
      <c r="A2053" s="2" t="s">
        <v>4140</v>
      </c>
      <c r="B2053" s="2" t="s">
        <v>753</v>
      </c>
      <c r="C2053" s="3" t="str">
        <f>HYPERLINK("https://springer.com/42278")</f>
        <v>https://springer.com/42278</v>
      </c>
      <c r="D2053" s="2" t="s">
        <v>4141</v>
      </c>
      <c r="E2053" s="2" t="s">
        <v>8</v>
      </c>
    </row>
    <row r="2054" spans="1:5" ht="12.75" customHeight="1" x14ac:dyDescent="0.3">
      <c r="A2054" s="2" t="s">
        <v>4142</v>
      </c>
      <c r="B2054" s="2" t="s">
        <v>10</v>
      </c>
      <c r="C2054" s="3" t="str">
        <f>HYPERLINK("https://springer.com/42286")</f>
        <v>https://springer.com/42286</v>
      </c>
      <c r="D2054" s="2" t="s">
        <v>4143</v>
      </c>
      <c r="E2054" s="2" t="s">
        <v>8</v>
      </c>
    </row>
    <row r="2055" spans="1:5" ht="12.75" customHeight="1" x14ac:dyDescent="0.3">
      <c r="A2055" s="2" t="s">
        <v>4144</v>
      </c>
      <c r="B2055" s="2" t="s">
        <v>753</v>
      </c>
      <c r="C2055" s="3" t="str">
        <f>HYPERLINK("https://springer.com/42321")</f>
        <v>https://springer.com/42321</v>
      </c>
      <c r="D2055" s="2" t="s">
        <v>4145</v>
      </c>
      <c r="E2055" s="2" t="s">
        <v>8</v>
      </c>
    </row>
    <row r="2056" spans="1:5" ht="12.75" customHeight="1" x14ac:dyDescent="0.3">
      <c r="A2056" s="2" t="s">
        <v>4146</v>
      </c>
      <c r="B2056" s="2" t="s">
        <v>753</v>
      </c>
      <c r="C2056" s="3" t="str">
        <f>HYPERLINK("https://springer.com/42322")</f>
        <v>https://springer.com/42322</v>
      </c>
      <c r="D2056" s="2" t="s">
        <v>4147</v>
      </c>
      <c r="E2056" s="2" t="s">
        <v>8</v>
      </c>
    </row>
    <row r="2057" spans="1:5" ht="12.75" customHeight="1" x14ac:dyDescent="0.3">
      <c r="A2057" s="2" t="s">
        <v>4148</v>
      </c>
      <c r="B2057" s="2" t="s">
        <v>753</v>
      </c>
      <c r="C2057" s="3" t="str">
        <f>HYPERLINK("https://springer.com/42330")</f>
        <v>https://springer.com/42330</v>
      </c>
      <c r="D2057" s="2" t="s">
        <v>4149</v>
      </c>
      <c r="E2057" s="2" t="s">
        <v>8</v>
      </c>
    </row>
    <row r="2058" spans="1:5" ht="12.75" customHeight="1" x14ac:dyDescent="0.3">
      <c r="A2058" s="2" t="s">
        <v>4150</v>
      </c>
      <c r="B2058" s="2" t="s">
        <v>396</v>
      </c>
      <c r="C2058" s="3" t="str">
        <f>HYPERLINK("https://springer.com/42341")</f>
        <v>https://springer.com/42341</v>
      </c>
      <c r="D2058" s="2" t="s">
        <v>4151</v>
      </c>
      <c r="E2058" s="2" t="s">
        <v>8</v>
      </c>
    </row>
    <row r="2059" spans="1:5" ht="12.75" customHeight="1" x14ac:dyDescent="0.3">
      <c r="A2059" s="2" t="s">
        <v>4152</v>
      </c>
      <c r="B2059" s="2" t="s">
        <v>6</v>
      </c>
      <c r="C2059" s="3" t="str">
        <f>HYPERLINK("https://springer.com/42360")</f>
        <v>https://springer.com/42360</v>
      </c>
      <c r="D2059" s="2" t="s">
        <v>4153</v>
      </c>
      <c r="E2059" s="2" t="s">
        <v>8</v>
      </c>
    </row>
    <row r="2060" spans="1:5" ht="12.75" customHeight="1" x14ac:dyDescent="0.3">
      <c r="A2060" s="2" t="s">
        <v>4154</v>
      </c>
      <c r="B2060" s="2" t="s">
        <v>794</v>
      </c>
      <c r="C2060" s="3" t="str">
        <f>HYPERLINK("https://springer.com/42379")</f>
        <v>https://springer.com/42379</v>
      </c>
      <c r="D2060" s="2" t="s">
        <v>4155</v>
      </c>
      <c r="E2060" s="2" t="s">
        <v>8</v>
      </c>
    </row>
    <row r="2061" spans="1:5" ht="12.75" customHeight="1" x14ac:dyDescent="0.3">
      <c r="A2061" s="2" t="s">
        <v>4156</v>
      </c>
      <c r="B2061" s="2" t="s">
        <v>443</v>
      </c>
      <c r="C2061" s="3" t="str">
        <f>HYPERLINK("https://springer.com/42380")</f>
        <v>https://springer.com/42380</v>
      </c>
      <c r="D2061" s="2" t="s">
        <v>4157</v>
      </c>
      <c r="E2061" s="2" t="s">
        <v>8</v>
      </c>
    </row>
    <row r="2062" spans="1:5" ht="12.75" customHeight="1" x14ac:dyDescent="0.3">
      <c r="A2062" s="2" t="s">
        <v>4158</v>
      </c>
      <c r="B2062" s="2" t="s">
        <v>133</v>
      </c>
      <c r="C2062" s="3" t="str">
        <f>HYPERLINK("https://springer.com/42398")</f>
        <v>https://springer.com/42398</v>
      </c>
      <c r="D2062" s="2" t="s">
        <v>4159</v>
      </c>
      <c r="E2062" s="2" t="s">
        <v>8</v>
      </c>
    </row>
    <row r="2063" spans="1:5" ht="12.75" customHeight="1" x14ac:dyDescent="0.3">
      <c r="A2063" s="2" t="s">
        <v>4160</v>
      </c>
      <c r="B2063" s="2" t="s">
        <v>78</v>
      </c>
      <c r="C2063" s="3" t="str">
        <f>HYPERLINK("https://springer.com/42399")</f>
        <v>https://springer.com/42399</v>
      </c>
      <c r="D2063" s="2" t="s">
        <v>4161</v>
      </c>
      <c r="E2063" s="2" t="s">
        <v>8</v>
      </c>
    </row>
    <row r="2064" spans="1:5" ht="12.75" customHeight="1" x14ac:dyDescent="0.3">
      <c r="A2064" s="2" t="s">
        <v>4162</v>
      </c>
      <c r="B2064" s="2" t="s">
        <v>56</v>
      </c>
      <c r="C2064" s="3" t="str">
        <f>HYPERLINK("https://springer.com/42401")</f>
        <v>https://springer.com/42401</v>
      </c>
      <c r="D2064" s="2" t="s">
        <v>4163</v>
      </c>
      <c r="E2064" s="2" t="s">
        <v>8</v>
      </c>
    </row>
    <row r="2065" spans="1:5" ht="12.75" customHeight="1" x14ac:dyDescent="0.3">
      <c r="A2065" s="2" t="s">
        <v>4164</v>
      </c>
      <c r="B2065" s="2" t="s">
        <v>56</v>
      </c>
      <c r="C2065" s="3" t="str">
        <f>HYPERLINK("https://springer.com/42405")</f>
        <v>https://springer.com/42405</v>
      </c>
      <c r="D2065" s="2" t="s">
        <v>4165</v>
      </c>
      <c r="E2065" s="2" t="s">
        <v>8</v>
      </c>
    </row>
    <row r="2066" spans="1:5" ht="12.75" customHeight="1" x14ac:dyDescent="0.3">
      <c r="A2066" s="2" t="s">
        <v>4166</v>
      </c>
      <c r="B2066" s="2" t="s">
        <v>794</v>
      </c>
      <c r="C2066" s="3" t="str">
        <f>HYPERLINK("https://springer.com/42413")</f>
        <v>https://springer.com/42413</v>
      </c>
      <c r="D2066" s="2" t="s">
        <v>4167</v>
      </c>
      <c r="E2066" s="2" t="s">
        <v>8</v>
      </c>
    </row>
    <row r="2067" spans="1:5" ht="12.75" customHeight="1" x14ac:dyDescent="0.3">
      <c r="A2067" s="2" t="s">
        <v>4168</v>
      </c>
      <c r="B2067" s="2" t="s">
        <v>56</v>
      </c>
      <c r="C2067" s="3" t="str">
        <f>HYPERLINK("https://springer.com/42417")</f>
        <v>https://springer.com/42417</v>
      </c>
      <c r="D2067" s="2" t="s">
        <v>4169</v>
      </c>
      <c r="E2067" s="2" t="s">
        <v>8</v>
      </c>
    </row>
    <row r="2068" spans="1:5" ht="12.75" customHeight="1" x14ac:dyDescent="0.3">
      <c r="A2068" s="2" t="s">
        <v>4170</v>
      </c>
      <c r="B2068" s="2" t="s">
        <v>56</v>
      </c>
      <c r="C2068" s="3" t="str">
        <f>HYPERLINK("https://springer.com/42421")</f>
        <v>https://springer.com/42421</v>
      </c>
      <c r="D2068" s="2" t="s">
        <v>4171</v>
      </c>
      <c r="E2068" s="2" t="s">
        <v>8</v>
      </c>
    </row>
    <row r="2069" spans="1:5" ht="12.75" customHeight="1" x14ac:dyDescent="0.3">
      <c r="A2069" s="2" t="s">
        <v>4172</v>
      </c>
      <c r="B2069" s="2" t="s">
        <v>56</v>
      </c>
      <c r="C2069" s="3" t="str">
        <f>HYPERLINK("https://springer.com/42423")</f>
        <v>https://springer.com/42423</v>
      </c>
      <c r="D2069" s="2" t="s">
        <v>4173</v>
      </c>
      <c r="E2069" s="2" t="s">
        <v>8</v>
      </c>
    </row>
    <row r="2070" spans="1:5" ht="12.75" customHeight="1" x14ac:dyDescent="0.3">
      <c r="A2070" s="2" t="s">
        <v>4174</v>
      </c>
      <c r="B2070" s="2" t="s">
        <v>753</v>
      </c>
      <c r="C2070" s="3" t="str">
        <f>HYPERLINK("https://springer.com/42438")</f>
        <v>https://springer.com/42438</v>
      </c>
      <c r="D2070" s="2" t="s">
        <v>4175</v>
      </c>
      <c r="E2070" s="2" t="s">
        <v>8</v>
      </c>
    </row>
    <row r="2071" spans="1:5" ht="12.75" customHeight="1" x14ac:dyDescent="0.3">
      <c r="A2071" s="2" t="s">
        <v>4176</v>
      </c>
      <c r="B2071" s="2" t="s">
        <v>347</v>
      </c>
      <c r="C2071" s="3" t="str">
        <f>HYPERLINK("https://springer.com/42439")</f>
        <v>https://springer.com/42439</v>
      </c>
      <c r="D2071" s="2" t="s">
        <v>4177</v>
      </c>
      <c r="E2071" s="2" t="s">
        <v>8</v>
      </c>
    </row>
    <row r="2072" spans="1:5" ht="12.75" customHeight="1" x14ac:dyDescent="0.3">
      <c r="A2072" s="2" t="s">
        <v>4178</v>
      </c>
      <c r="B2072" s="2" t="s">
        <v>794</v>
      </c>
      <c r="C2072" s="3" t="str">
        <f>HYPERLINK("https://springer.com/42448")</f>
        <v>https://springer.com/42448</v>
      </c>
      <c r="D2072" s="2" t="s">
        <v>4179</v>
      </c>
      <c r="E2072" s="2" t="s">
        <v>8</v>
      </c>
    </row>
    <row r="2073" spans="1:5" ht="12.75" customHeight="1" x14ac:dyDescent="0.3">
      <c r="A2073" s="2" t="s">
        <v>4180</v>
      </c>
      <c r="B2073" s="2" t="s">
        <v>56</v>
      </c>
      <c r="C2073" s="3" t="str">
        <f>HYPERLINK("https://springer.com/42454")</f>
        <v>https://springer.com/42454</v>
      </c>
      <c r="D2073" s="2" t="s">
        <v>4181</v>
      </c>
      <c r="E2073" s="2" t="s">
        <v>8</v>
      </c>
    </row>
    <row r="2074" spans="1:5" ht="12.75" customHeight="1" x14ac:dyDescent="0.3">
      <c r="A2074" s="2" t="s">
        <v>4182</v>
      </c>
      <c r="B2074" s="2" t="s">
        <v>56</v>
      </c>
      <c r="C2074" s="3" t="str">
        <f>HYPERLINK("https://springer.com/42461")</f>
        <v>https://springer.com/42461</v>
      </c>
      <c r="D2074" s="2" t="s">
        <v>4183</v>
      </c>
      <c r="E2074" s="2" t="s">
        <v>8</v>
      </c>
    </row>
    <row r="2075" spans="1:5" ht="12.75" customHeight="1" x14ac:dyDescent="0.3">
      <c r="A2075" s="2" t="s">
        <v>4184</v>
      </c>
      <c r="B2075" s="2" t="s">
        <v>396</v>
      </c>
      <c r="C2075" s="3" t="str">
        <f>HYPERLINK("https://springer.com/42464")</f>
        <v>https://springer.com/42464</v>
      </c>
      <c r="D2075" s="2" t="s">
        <v>4185</v>
      </c>
      <c r="E2075" s="2" t="s">
        <v>8</v>
      </c>
    </row>
    <row r="2076" spans="1:5" ht="12.75" customHeight="1" x14ac:dyDescent="0.3">
      <c r="A2076" s="2" t="s">
        <v>4186</v>
      </c>
      <c r="B2076" s="2" t="s">
        <v>56</v>
      </c>
      <c r="C2076" s="3" t="str">
        <f>HYPERLINK("https://springer.com/42484")</f>
        <v>https://springer.com/42484</v>
      </c>
      <c r="D2076" s="2" t="s">
        <v>4187</v>
      </c>
      <c r="E2076" s="2" t="s">
        <v>8</v>
      </c>
    </row>
    <row r="2077" spans="1:5" ht="12.75" customHeight="1" x14ac:dyDescent="0.3">
      <c r="A2077" s="2" t="s">
        <v>4188</v>
      </c>
      <c r="B2077" s="2" t="s">
        <v>20</v>
      </c>
      <c r="C2077" s="3" t="str">
        <f>HYPERLINK("https://springer.com/42485")</f>
        <v>https://springer.com/42485</v>
      </c>
      <c r="D2077" s="2" t="s">
        <v>4189</v>
      </c>
      <c r="E2077" s="2" t="s">
        <v>8</v>
      </c>
    </row>
    <row r="2078" spans="1:5" ht="12.75" customHeight="1" x14ac:dyDescent="0.3">
      <c r="A2078" s="2" t="s">
        <v>4190</v>
      </c>
      <c r="B2078" s="2" t="s">
        <v>63</v>
      </c>
      <c r="C2078" s="3" t="str">
        <f>HYPERLINK("https://springer.com/42486")</f>
        <v>https://springer.com/42486</v>
      </c>
      <c r="D2078" s="2" t="s">
        <v>4191</v>
      </c>
      <c r="E2078" s="2" t="s">
        <v>8</v>
      </c>
    </row>
    <row r="2079" spans="1:5" ht="12.75" customHeight="1" x14ac:dyDescent="0.3">
      <c r="A2079" s="2" t="s">
        <v>4192</v>
      </c>
      <c r="B2079" s="2" t="s">
        <v>56</v>
      </c>
      <c r="C2079" s="3" t="str">
        <f>HYPERLINK("https://springer.com/42488")</f>
        <v>https://springer.com/42488</v>
      </c>
      <c r="D2079" s="2" t="s">
        <v>4193</v>
      </c>
      <c r="E2079" s="2" t="s">
        <v>8</v>
      </c>
    </row>
    <row r="2080" spans="1:5" ht="12.75" customHeight="1" x14ac:dyDescent="0.3">
      <c r="A2080" s="2" t="s">
        <v>4194</v>
      </c>
      <c r="B2080" s="2" t="s">
        <v>528</v>
      </c>
      <c r="C2080" s="3" t="str">
        <f>HYPERLINK("https://springer.com/42489")</f>
        <v>https://springer.com/42489</v>
      </c>
      <c r="D2080" s="2" t="s">
        <v>4195</v>
      </c>
      <c r="E2080" s="2" t="s">
        <v>8</v>
      </c>
    </row>
    <row r="2081" spans="1:5" ht="12.75" customHeight="1" x14ac:dyDescent="0.3">
      <c r="A2081" s="2" t="s">
        <v>4196</v>
      </c>
      <c r="B2081" s="2" t="s">
        <v>56</v>
      </c>
      <c r="C2081" s="3" t="str">
        <f>HYPERLINK("https://springer.com/42493")</f>
        <v>https://springer.com/42493</v>
      </c>
      <c r="D2081" s="2" t="s">
        <v>4197</v>
      </c>
      <c r="E2081" s="2" t="s">
        <v>8</v>
      </c>
    </row>
    <row r="2082" spans="1:5" ht="12.75" customHeight="1" x14ac:dyDescent="0.3">
      <c r="A2082" s="2" t="s">
        <v>4198</v>
      </c>
      <c r="B2082" s="2" t="s">
        <v>151</v>
      </c>
      <c r="C2082" s="3" t="str">
        <f>HYPERLINK("https://springer.com/42495")</f>
        <v>https://springer.com/42495</v>
      </c>
      <c r="D2082" s="2" t="s">
        <v>4199</v>
      </c>
      <c r="E2082" s="2" t="s">
        <v>8</v>
      </c>
    </row>
    <row r="2083" spans="1:5" ht="12.75" customHeight="1" x14ac:dyDescent="0.3">
      <c r="A2083" s="2" t="s">
        <v>4200</v>
      </c>
      <c r="B2083" s="2" t="s">
        <v>56</v>
      </c>
      <c r="C2083" s="3" t="str">
        <f>HYPERLINK("https://springer.com/42496")</f>
        <v>https://springer.com/42496</v>
      </c>
      <c r="D2083" s="2" t="s">
        <v>4201</v>
      </c>
      <c r="E2083" s="2" t="s">
        <v>8</v>
      </c>
    </row>
    <row r="2084" spans="1:5" ht="12.75" customHeight="1" x14ac:dyDescent="0.3">
      <c r="A2084" s="2" t="s">
        <v>4202</v>
      </c>
      <c r="B2084" s="2" t="s">
        <v>63</v>
      </c>
      <c r="C2084" s="3" t="str">
        <f>HYPERLINK("https://springer.com/42514")</f>
        <v>https://springer.com/42514</v>
      </c>
      <c r="D2084" s="2" t="s">
        <v>4203</v>
      </c>
      <c r="E2084" s="2" t="s">
        <v>8</v>
      </c>
    </row>
    <row r="2085" spans="1:5" ht="12.75" customHeight="1" x14ac:dyDescent="0.3">
      <c r="A2085" s="2" t="s">
        <v>4204</v>
      </c>
      <c r="B2085" s="2" t="s">
        <v>170</v>
      </c>
      <c r="C2085" s="3" t="str">
        <f>HYPERLINK("https://springer.com/42519")</f>
        <v>https://springer.com/42519</v>
      </c>
      <c r="D2085" s="2" t="s">
        <v>4205</v>
      </c>
      <c r="E2085" s="2" t="s">
        <v>8</v>
      </c>
    </row>
    <row r="2086" spans="1:5" ht="12.75" customHeight="1" x14ac:dyDescent="0.3">
      <c r="A2086" s="2" t="s">
        <v>4206</v>
      </c>
      <c r="B2086" s="2" t="s">
        <v>74</v>
      </c>
      <c r="C2086" s="3" t="str">
        <f>HYPERLINK("https://springer.com/42520")</f>
        <v>https://springer.com/42520</v>
      </c>
      <c r="D2086" s="2" t="s">
        <v>4207</v>
      </c>
      <c r="E2086" s="2" t="s">
        <v>8</v>
      </c>
    </row>
    <row r="2087" spans="1:5" ht="12.75" customHeight="1" x14ac:dyDescent="0.3">
      <c r="A2087" s="2" t="s">
        <v>4208</v>
      </c>
      <c r="B2087" s="2" t="s">
        <v>857</v>
      </c>
      <c r="C2087" s="3" t="str">
        <f>HYPERLINK("https://springer.com/42521")</f>
        <v>https://springer.com/42521</v>
      </c>
      <c r="D2087" s="2" t="s">
        <v>4209</v>
      </c>
      <c r="E2087" s="2" t="s">
        <v>8</v>
      </c>
    </row>
    <row r="2088" spans="1:5" ht="12.75" customHeight="1" x14ac:dyDescent="0.3">
      <c r="A2088" s="2" t="s">
        <v>4210</v>
      </c>
      <c r="B2088" s="2" t="s">
        <v>56</v>
      </c>
      <c r="C2088" s="3" t="str">
        <f>HYPERLINK("https://springer.com/42524")</f>
        <v>https://springer.com/42524</v>
      </c>
      <c r="D2088" s="2" t="s">
        <v>4211</v>
      </c>
      <c r="E2088" s="2" t="s">
        <v>8</v>
      </c>
    </row>
    <row r="2089" spans="1:5" ht="12.75" customHeight="1" x14ac:dyDescent="0.3">
      <c r="A2089" s="2" t="s">
        <v>4212</v>
      </c>
      <c r="B2089" s="2" t="s">
        <v>528</v>
      </c>
      <c r="C2089" s="3" t="str">
        <f>HYPERLINK("https://springer.com/42532")</f>
        <v>https://springer.com/42532</v>
      </c>
      <c r="D2089" s="2" t="s">
        <v>4213</v>
      </c>
      <c r="E2089" s="2" t="s">
        <v>8</v>
      </c>
    </row>
    <row r="2090" spans="1:5" ht="12.75" customHeight="1" x14ac:dyDescent="0.3">
      <c r="A2090" s="2" t="s">
        <v>4214</v>
      </c>
      <c r="B2090" s="2" t="s">
        <v>1063</v>
      </c>
      <c r="C2090" s="3" t="str">
        <f>HYPERLINK("https://springer.com/42533")</f>
        <v>https://springer.com/42533</v>
      </c>
      <c r="D2090" s="2" t="s">
        <v>4215</v>
      </c>
      <c r="E2090" s="2" t="s">
        <v>8</v>
      </c>
    </row>
    <row r="2091" spans="1:5" ht="12.75" customHeight="1" x14ac:dyDescent="0.3">
      <c r="A2091" s="2" t="s">
        <v>4216</v>
      </c>
      <c r="B2091" s="2" t="s">
        <v>6</v>
      </c>
      <c r="C2091" s="3" t="str">
        <f>HYPERLINK("https://springer.com/42535")</f>
        <v>https://springer.com/42535</v>
      </c>
      <c r="D2091" s="2" t="s">
        <v>4217</v>
      </c>
      <c r="E2091" s="2" t="s">
        <v>8</v>
      </c>
    </row>
    <row r="2092" spans="1:5" ht="12.75" customHeight="1" x14ac:dyDescent="0.3">
      <c r="A2092" s="2" t="s">
        <v>4218</v>
      </c>
      <c r="B2092" s="2" t="s">
        <v>10</v>
      </c>
      <c r="C2092" s="3" t="str">
        <f>HYPERLINK("https://springer.com/42543")</f>
        <v>https://springer.com/42543</v>
      </c>
      <c r="D2092" s="2" t="s">
        <v>4219</v>
      </c>
      <c r="E2092" s="2" t="s">
        <v>8</v>
      </c>
    </row>
    <row r="2093" spans="1:5" ht="12.75" customHeight="1" x14ac:dyDescent="0.3">
      <c r="A2093" s="2" t="s">
        <v>4220</v>
      </c>
      <c r="B2093" s="2" t="s">
        <v>56</v>
      </c>
      <c r="C2093" s="3" t="str">
        <f>HYPERLINK("https://springer.com/42558")</f>
        <v>https://springer.com/42558</v>
      </c>
      <c r="D2093" s="2" t="s">
        <v>4221</v>
      </c>
      <c r="E2093" s="2" t="s">
        <v>8</v>
      </c>
    </row>
    <row r="2094" spans="1:5" ht="12.75" customHeight="1" x14ac:dyDescent="0.3">
      <c r="A2094" s="2" t="s">
        <v>4222</v>
      </c>
      <c r="B2094" s="2" t="s">
        <v>1063</v>
      </c>
      <c r="C2094" s="3" t="str">
        <f>HYPERLINK("https://springer.com/42597")</f>
        <v>https://springer.com/42597</v>
      </c>
      <c r="D2094" s="2" t="s">
        <v>4223</v>
      </c>
      <c r="E2094" s="2" t="s">
        <v>8</v>
      </c>
    </row>
    <row r="2095" spans="1:5" ht="12.75" customHeight="1" x14ac:dyDescent="0.3">
      <c r="A2095" s="2" t="s">
        <v>4224</v>
      </c>
      <c r="B2095" s="2" t="s">
        <v>56</v>
      </c>
      <c r="C2095" s="3" t="str">
        <f>HYPERLINK("https://springer.com/42600")</f>
        <v>https://springer.com/42600</v>
      </c>
      <c r="D2095" s="2" t="s">
        <v>4225</v>
      </c>
      <c r="E2095" s="2" t="s">
        <v>8</v>
      </c>
    </row>
    <row r="2096" spans="1:5" ht="12.75" customHeight="1" x14ac:dyDescent="0.3">
      <c r="A2096" s="2" t="s">
        <v>4226</v>
      </c>
      <c r="B2096" s="2" t="s">
        <v>794</v>
      </c>
      <c r="C2096" s="3" t="str">
        <f>HYPERLINK("https://springer.com/42650")</f>
        <v>https://springer.com/42650</v>
      </c>
      <c r="D2096" s="2" t="s">
        <v>4227</v>
      </c>
      <c r="E2096" s="2" t="s">
        <v>8</v>
      </c>
    </row>
    <row r="2097" spans="1:5" ht="12.75" customHeight="1" x14ac:dyDescent="0.3">
      <c r="A2097" s="2" t="s">
        <v>4228</v>
      </c>
      <c r="B2097" s="2" t="s">
        <v>6</v>
      </c>
      <c r="C2097" s="3" t="str">
        <f>HYPERLINK("https://springer.com/42690")</f>
        <v>https://springer.com/42690</v>
      </c>
      <c r="D2097" s="2" t="s">
        <v>4229</v>
      </c>
      <c r="E2097" s="2" t="s">
        <v>8</v>
      </c>
    </row>
    <row r="2098" spans="1:5" ht="12.75" customHeight="1" x14ac:dyDescent="0.3">
      <c r="A2098" s="2" t="s">
        <v>4230</v>
      </c>
      <c r="B2098" s="2" t="s">
        <v>6</v>
      </c>
      <c r="C2098" s="3" t="str">
        <f>HYPERLINK("https://springer.com/42729")</f>
        <v>https://springer.com/42729</v>
      </c>
      <c r="D2098" s="2" t="s">
        <v>4231</v>
      </c>
      <c r="E2098" s="2" t="s">
        <v>8</v>
      </c>
    </row>
    <row r="2099" spans="1:5" ht="12.75" customHeight="1" x14ac:dyDescent="0.3">
      <c r="A2099" s="2" t="s">
        <v>4232</v>
      </c>
      <c r="B2099" s="2" t="s">
        <v>1063</v>
      </c>
      <c r="C2099" s="3" t="str">
        <f>HYPERLINK("https://springer.com/42738")</f>
        <v>https://springer.com/42738</v>
      </c>
      <c r="D2099" s="2" t="s">
        <v>4233</v>
      </c>
      <c r="E2099" s="2" t="s">
        <v>8</v>
      </c>
    </row>
    <row r="2100" spans="1:5" ht="12.75" customHeight="1" x14ac:dyDescent="0.3">
      <c r="A2100" s="2" t="s">
        <v>4234</v>
      </c>
      <c r="B2100" s="2" t="s">
        <v>218</v>
      </c>
      <c r="C2100" s="3" t="str">
        <f>HYPERLINK("https://springer.com/42755")</f>
        <v>https://springer.com/42755</v>
      </c>
      <c r="D2100" s="2" t="s">
        <v>4235</v>
      </c>
      <c r="E2100" s="2"/>
    </row>
    <row r="2101" spans="1:5" ht="12.75" customHeight="1" x14ac:dyDescent="0.3">
      <c r="A2101" s="2" t="s">
        <v>4236</v>
      </c>
      <c r="B2101" s="2" t="s">
        <v>56</v>
      </c>
      <c r="C2101" s="3" t="str">
        <f>HYPERLINK("https://springer.com/42757")</f>
        <v>https://springer.com/42757</v>
      </c>
      <c r="D2101" s="2" t="s">
        <v>4237</v>
      </c>
      <c r="E2101" s="2" t="s">
        <v>8</v>
      </c>
    </row>
    <row r="2102" spans="1:5" ht="12.75" customHeight="1" x14ac:dyDescent="0.3">
      <c r="A2102" s="2" t="s">
        <v>4238</v>
      </c>
      <c r="B2102" s="2" t="s">
        <v>443</v>
      </c>
      <c r="C2102" s="3" t="str">
        <f>HYPERLINK("https://springer.com/42761")</f>
        <v>https://springer.com/42761</v>
      </c>
      <c r="D2102" s="2" t="s">
        <v>4239</v>
      </c>
      <c r="E2102" s="2" t="s">
        <v>8</v>
      </c>
    </row>
    <row r="2103" spans="1:5" ht="12.75" customHeight="1" x14ac:dyDescent="0.3">
      <c r="A2103" s="2" t="s">
        <v>4240</v>
      </c>
      <c r="B2103" s="2" t="s">
        <v>20</v>
      </c>
      <c r="C2103" s="3" t="str">
        <f>HYPERLINK("https://springer.com/42764")</f>
        <v>https://springer.com/42764</v>
      </c>
      <c r="D2103" s="2" t="s">
        <v>4241</v>
      </c>
      <c r="E2103" s="2" t="s">
        <v>8</v>
      </c>
    </row>
    <row r="2104" spans="1:5" ht="12.75" customHeight="1" x14ac:dyDescent="0.3">
      <c r="A2104" s="2" t="s">
        <v>4242</v>
      </c>
      <c r="B2104" s="2" t="s">
        <v>396</v>
      </c>
      <c r="C2104" s="3" t="str">
        <f>HYPERLINK("https://springer.com/42765")</f>
        <v>https://springer.com/42765</v>
      </c>
      <c r="D2104" s="2" t="s">
        <v>4243</v>
      </c>
      <c r="E2104" s="2" t="s">
        <v>8</v>
      </c>
    </row>
    <row r="2105" spans="1:5" ht="12.75" customHeight="1" x14ac:dyDescent="0.3">
      <c r="A2105" s="2" t="s">
        <v>4244</v>
      </c>
      <c r="B2105" s="2" t="s">
        <v>133</v>
      </c>
      <c r="C2105" s="3" t="str">
        <f>HYPERLINK("https://springer.com/42768")</f>
        <v>https://springer.com/42768</v>
      </c>
      <c r="D2105" s="2" t="s">
        <v>4245</v>
      </c>
      <c r="E2105" s="2" t="s">
        <v>8</v>
      </c>
    </row>
    <row r="2106" spans="1:5" ht="12.75" customHeight="1" x14ac:dyDescent="0.3">
      <c r="A2106" s="2" t="s">
        <v>4246</v>
      </c>
      <c r="B2106" s="2" t="s">
        <v>6</v>
      </c>
      <c r="C2106" s="3" t="str">
        <f>HYPERLINK("https://springer.com/42770")</f>
        <v>https://springer.com/42770</v>
      </c>
      <c r="D2106" s="2" t="s">
        <v>4247</v>
      </c>
      <c r="E2106" s="2" t="s">
        <v>8</v>
      </c>
    </row>
    <row r="2107" spans="1:5" ht="12.75" customHeight="1" x14ac:dyDescent="0.3">
      <c r="A2107" s="2" t="s">
        <v>4248</v>
      </c>
      <c r="B2107" s="2" t="s">
        <v>63</v>
      </c>
      <c r="C2107" s="3" t="str">
        <f>HYPERLINK("https://springer.com/42786")</f>
        <v>https://springer.com/42786</v>
      </c>
      <c r="D2107" s="2" t="s">
        <v>4249</v>
      </c>
      <c r="E2107" s="2" t="s">
        <v>8</v>
      </c>
    </row>
    <row r="2108" spans="1:5" ht="12.75" customHeight="1" x14ac:dyDescent="0.3">
      <c r="A2108" s="2" t="s">
        <v>4250</v>
      </c>
      <c r="B2108" s="2" t="s">
        <v>56</v>
      </c>
      <c r="C2108" s="3" t="str">
        <f>HYPERLINK("https://springer.com/42791")</f>
        <v>https://springer.com/42791</v>
      </c>
      <c r="D2108" s="2" t="s">
        <v>4251</v>
      </c>
      <c r="E2108" s="2" t="s">
        <v>8</v>
      </c>
    </row>
    <row r="2109" spans="1:5" ht="12.75" customHeight="1" x14ac:dyDescent="0.3">
      <c r="A2109" s="2" t="s">
        <v>4252</v>
      </c>
      <c r="B2109" s="2" t="s">
        <v>26</v>
      </c>
      <c r="C2109" s="3" t="str">
        <f>HYPERLINK("https://springer.com/42797")</f>
        <v>https://springer.com/42797</v>
      </c>
      <c r="D2109" s="2" t="s">
        <v>4253</v>
      </c>
      <c r="E2109" s="2" t="s">
        <v>8</v>
      </c>
    </row>
    <row r="2110" spans="1:5" ht="12.75" customHeight="1" x14ac:dyDescent="0.3">
      <c r="A2110" s="2" t="s">
        <v>4254</v>
      </c>
      <c r="B2110" s="2" t="s">
        <v>170</v>
      </c>
      <c r="C2110" s="3" t="str">
        <f>HYPERLINK("https://springer.com/42803")</f>
        <v>https://springer.com/42803</v>
      </c>
      <c r="D2110" s="2" t="s">
        <v>4255</v>
      </c>
      <c r="E2110" s="2" t="s">
        <v>8</v>
      </c>
    </row>
    <row r="2111" spans="1:5" ht="12.75" customHeight="1" x14ac:dyDescent="0.3">
      <c r="A2111" s="2" t="s">
        <v>4256</v>
      </c>
      <c r="B2111" s="2" t="s">
        <v>78</v>
      </c>
      <c r="C2111" s="3" t="str">
        <f>HYPERLINK("https://springer.com/42804")</f>
        <v>https://springer.com/42804</v>
      </c>
      <c r="D2111" s="2" t="s">
        <v>4257</v>
      </c>
      <c r="E2111" s="2" t="s">
        <v>8</v>
      </c>
    </row>
    <row r="2112" spans="1:5" ht="12.75" customHeight="1" x14ac:dyDescent="0.3">
      <c r="A2112" s="2" t="s">
        <v>4258</v>
      </c>
      <c r="B2112" s="2" t="s">
        <v>443</v>
      </c>
      <c r="C2112" s="3" t="str">
        <f>HYPERLINK("https://springer.com/42822")</f>
        <v>https://springer.com/42822</v>
      </c>
      <c r="D2112" s="2" t="s">
        <v>4259</v>
      </c>
      <c r="E2112" s="2" t="s">
        <v>8</v>
      </c>
    </row>
    <row r="2113" spans="1:5" ht="12.75" customHeight="1" x14ac:dyDescent="0.3">
      <c r="A2113" s="2" t="s">
        <v>4260</v>
      </c>
      <c r="B2113" s="2" t="s">
        <v>396</v>
      </c>
      <c r="C2113" s="3" t="str">
        <f>HYPERLINK("https://springer.com/42823")</f>
        <v>https://springer.com/42823</v>
      </c>
      <c r="D2113" s="2" t="s">
        <v>4261</v>
      </c>
      <c r="E2113" s="2" t="s">
        <v>8</v>
      </c>
    </row>
    <row r="2114" spans="1:5" ht="12.75" customHeight="1" x14ac:dyDescent="0.3">
      <c r="A2114" s="2" t="s">
        <v>4262</v>
      </c>
      <c r="B2114" s="2" t="s">
        <v>396</v>
      </c>
      <c r="C2114" s="3" t="str">
        <f>HYPERLINK("https://springer.com/42824")</f>
        <v>https://springer.com/42824</v>
      </c>
      <c r="D2114" s="2" t="s">
        <v>4263</v>
      </c>
      <c r="E2114" s="2" t="s">
        <v>8</v>
      </c>
    </row>
    <row r="2115" spans="1:5" ht="12.75" customHeight="1" x14ac:dyDescent="0.3">
      <c r="A2115" s="2" t="s">
        <v>4264</v>
      </c>
      <c r="B2115" s="2" t="s">
        <v>133</v>
      </c>
      <c r="C2115" s="3" t="str">
        <f>HYPERLINK("https://springer.com/42832")</f>
        <v>https://springer.com/42832</v>
      </c>
      <c r="D2115" s="2" t="s">
        <v>4265</v>
      </c>
      <c r="E2115" s="2" t="s">
        <v>8</v>
      </c>
    </row>
    <row r="2116" spans="1:5" ht="12.75" customHeight="1" x14ac:dyDescent="0.3">
      <c r="A2116" s="2" t="s">
        <v>4266</v>
      </c>
      <c r="B2116" s="2" t="s">
        <v>56</v>
      </c>
      <c r="C2116" s="3" t="str">
        <f>HYPERLINK("https://springer.com/42835")</f>
        <v>https://springer.com/42835</v>
      </c>
      <c r="D2116" s="2" t="s">
        <v>4267</v>
      </c>
      <c r="E2116" s="2" t="s">
        <v>8</v>
      </c>
    </row>
    <row r="2117" spans="1:5" ht="12.75" customHeight="1" x14ac:dyDescent="0.3">
      <c r="A2117" s="2" t="s">
        <v>4268</v>
      </c>
      <c r="B2117" s="2" t="s">
        <v>78</v>
      </c>
      <c r="C2117" s="3" t="str">
        <f>HYPERLINK("https://springer.com/42843")</f>
        <v>https://springer.com/42843</v>
      </c>
      <c r="D2117" s="2" t="s">
        <v>4269</v>
      </c>
      <c r="E2117" s="2" t="s">
        <v>8</v>
      </c>
    </row>
    <row r="2118" spans="1:5" ht="12.75" customHeight="1" x14ac:dyDescent="0.3">
      <c r="A2118" s="2" t="s">
        <v>4270</v>
      </c>
      <c r="B2118" s="2" t="s">
        <v>443</v>
      </c>
      <c r="C2118" s="3" t="str">
        <f>HYPERLINK("https://springer.com/42844")</f>
        <v>https://springer.com/42844</v>
      </c>
      <c r="D2118" s="2" t="s">
        <v>4271</v>
      </c>
      <c r="E2118" s="2" t="s">
        <v>8</v>
      </c>
    </row>
    <row r="2119" spans="1:5" ht="12.75" customHeight="1" x14ac:dyDescent="0.3">
      <c r="A2119" s="2" t="s">
        <v>4272</v>
      </c>
      <c r="B2119" s="2" t="s">
        <v>56</v>
      </c>
      <c r="C2119" s="3" t="str">
        <f>HYPERLINK("https://springer.com/42853")</f>
        <v>https://springer.com/42853</v>
      </c>
      <c r="D2119" s="2" t="s">
        <v>4273</v>
      </c>
      <c r="E2119" s="2" t="s">
        <v>8</v>
      </c>
    </row>
    <row r="2120" spans="1:5" ht="12.75" customHeight="1" x14ac:dyDescent="0.3">
      <c r="A2120" s="2" t="s">
        <v>4274</v>
      </c>
      <c r="B2120" s="2" t="s">
        <v>396</v>
      </c>
      <c r="C2120" s="3" t="str">
        <f>HYPERLINK("https://springer.com/42864")</f>
        <v>https://springer.com/42864</v>
      </c>
      <c r="D2120" s="2" t="s">
        <v>4275</v>
      </c>
      <c r="E2120" s="2" t="s">
        <v>8</v>
      </c>
    </row>
    <row r="2121" spans="1:5" ht="12.75" customHeight="1" x14ac:dyDescent="0.3">
      <c r="A2121" s="2" t="s">
        <v>4276</v>
      </c>
      <c r="B2121" s="2" t="s">
        <v>26</v>
      </c>
      <c r="C2121" s="3" t="str">
        <f>HYPERLINK("https://springer.com/42865")</f>
        <v>https://springer.com/42865</v>
      </c>
      <c r="D2121" s="2" t="s">
        <v>4277</v>
      </c>
      <c r="E2121" s="2" t="s">
        <v>8</v>
      </c>
    </row>
    <row r="2122" spans="1:5" ht="12.75" customHeight="1" x14ac:dyDescent="0.3">
      <c r="A2122" s="2" t="s">
        <v>4278</v>
      </c>
      <c r="B2122" s="2" t="s">
        <v>181</v>
      </c>
      <c r="C2122" s="3" t="str">
        <f>HYPERLINK("https://springer.com/42943")</f>
        <v>https://springer.com/42943</v>
      </c>
      <c r="D2122" s="2" t="s">
        <v>4279</v>
      </c>
      <c r="E2122" s="2" t="s">
        <v>8</v>
      </c>
    </row>
    <row r="2123" spans="1:5" ht="12.75" customHeight="1" x14ac:dyDescent="0.3">
      <c r="A2123" s="2" t="s">
        <v>4280</v>
      </c>
      <c r="B2123" s="2" t="s">
        <v>56</v>
      </c>
      <c r="C2123" s="3" t="str">
        <f>HYPERLINK("https://springer.com/42947")</f>
        <v>https://springer.com/42947</v>
      </c>
      <c r="D2123" s="2" t="s">
        <v>4281</v>
      </c>
      <c r="E2123" s="2" t="s">
        <v>8</v>
      </c>
    </row>
    <row r="2124" spans="1:5" ht="12.75" customHeight="1" x14ac:dyDescent="0.3">
      <c r="A2124" s="2" t="s">
        <v>4282</v>
      </c>
      <c r="B2124" s="2" t="s">
        <v>170</v>
      </c>
      <c r="C2124" s="3" t="str">
        <f>HYPERLINK("https://springer.com/42952")</f>
        <v>https://springer.com/42952</v>
      </c>
      <c r="D2124" s="2" t="s">
        <v>4283</v>
      </c>
      <c r="E2124" s="2" t="s">
        <v>8</v>
      </c>
    </row>
    <row r="2125" spans="1:5" ht="12.75" customHeight="1" x14ac:dyDescent="0.3">
      <c r="A2125" s="2" t="s">
        <v>4284</v>
      </c>
      <c r="B2125" s="2" t="s">
        <v>6</v>
      </c>
      <c r="C2125" s="3" t="str">
        <f>HYPERLINK("https://springer.com/42965")</f>
        <v>https://springer.com/42965</v>
      </c>
      <c r="D2125" s="2" t="s">
        <v>4285</v>
      </c>
      <c r="E2125" s="2" t="s">
        <v>8</v>
      </c>
    </row>
    <row r="2126" spans="1:5" ht="12.75" customHeight="1" x14ac:dyDescent="0.3">
      <c r="A2126" s="2" t="s">
        <v>4286</v>
      </c>
      <c r="B2126" s="2" t="s">
        <v>10</v>
      </c>
      <c r="C2126" s="3" t="str">
        <f>HYPERLINK("https://springer.com/42967")</f>
        <v>https://springer.com/42967</v>
      </c>
      <c r="D2126" s="2" t="s">
        <v>4287</v>
      </c>
      <c r="E2126" s="2" t="s">
        <v>8</v>
      </c>
    </row>
    <row r="2127" spans="1:5" ht="12.75" customHeight="1" x14ac:dyDescent="0.3">
      <c r="A2127" s="2" t="s">
        <v>4288</v>
      </c>
      <c r="B2127" s="2" t="s">
        <v>794</v>
      </c>
      <c r="C2127" s="3" t="str">
        <f>HYPERLINK("https://springer.com/42972")</f>
        <v>https://springer.com/42972</v>
      </c>
      <c r="D2127" s="2" t="s">
        <v>4289</v>
      </c>
      <c r="E2127" s="2" t="s">
        <v>8</v>
      </c>
    </row>
    <row r="2128" spans="1:5" ht="12.75" customHeight="1" x14ac:dyDescent="0.3">
      <c r="A2128" s="2" t="s">
        <v>4290</v>
      </c>
      <c r="B2128" s="2" t="s">
        <v>151</v>
      </c>
      <c r="C2128" s="3" t="str">
        <f>HYPERLINK("https://springer.com/42973")</f>
        <v>https://springer.com/42973</v>
      </c>
      <c r="D2128" s="2" t="s">
        <v>4291</v>
      </c>
      <c r="E2128" s="2" t="s">
        <v>8</v>
      </c>
    </row>
    <row r="2129" spans="1:5" ht="12.75" customHeight="1" x14ac:dyDescent="0.3">
      <c r="A2129" s="2" t="s">
        <v>4292</v>
      </c>
      <c r="B2129" s="2" t="s">
        <v>6</v>
      </c>
      <c r="C2129" s="3" t="str">
        <f>HYPERLINK("https://springer.com/42974")</f>
        <v>https://springer.com/42974</v>
      </c>
      <c r="D2129" s="2" t="s">
        <v>4293</v>
      </c>
      <c r="E2129" s="2" t="s">
        <v>8</v>
      </c>
    </row>
    <row r="2130" spans="1:5" ht="12.75" customHeight="1" x14ac:dyDescent="0.3">
      <c r="A2130" s="2" t="s">
        <v>4294</v>
      </c>
      <c r="B2130" s="2" t="s">
        <v>6</v>
      </c>
      <c r="C2130" s="3" t="str">
        <f>HYPERLINK("https://springer.com/42976")</f>
        <v>https://springer.com/42976</v>
      </c>
      <c r="D2130" s="2" t="s">
        <v>4295</v>
      </c>
      <c r="E2130" s="2" t="s">
        <v>8</v>
      </c>
    </row>
    <row r="2131" spans="1:5" ht="12.75" customHeight="1" x14ac:dyDescent="0.3">
      <c r="A2131" s="2" t="s">
        <v>4296</v>
      </c>
      <c r="B2131" s="2" t="s">
        <v>6</v>
      </c>
      <c r="C2131" s="3" t="str">
        <f>HYPERLINK("https://springer.com/42977")</f>
        <v>https://springer.com/42977</v>
      </c>
      <c r="D2131" s="2" t="s">
        <v>4297</v>
      </c>
      <c r="E2131" s="2" t="s">
        <v>8</v>
      </c>
    </row>
    <row r="2132" spans="1:5" ht="12.75" customHeight="1" x14ac:dyDescent="0.3">
      <c r="A2132" s="2" t="s">
        <v>4298</v>
      </c>
      <c r="B2132" s="2" t="s">
        <v>20</v>
      </c>
      <c r="C2132" s="3" t="str">
        <f>HYPERLINK("https://springer.com/42978")</f>
        <v>https://springer.com/42978</v>
      </c>
      <c r="D2132" s="2" t="s">
        <v>4299</v>
      </c>
      <c r="E2132" s="2" t="s">
        <v>8</v>
      </c>
    </row>
    <row r="2133" spans="1:5" ht="12.75" customHeight="1" x14ac:dyDescent="0.3">
      <c r="A2133" s="2" t="s">
        <v>4300</v>
      </c>
      <c r="B2133" s="2" t="s">
        <v>63</v>
      </c>
      <c r="C2133" s="3" t="str">
        <f>HYPERLINK("https://springer.com/42979")</f>
        <v>https://springer.com/42979</v>
      </c>
      <c r="D2133" s="2" t="s">
        <v>4301</v>
      </c>
      <c r="E2133" s="2" t="s">
        <v>8</v>
      </c>
    </row>
    <row r="2134" spans="1:5" ht="12.75" customHeight="1" x14ac:dyDescent="0.3">
      <c r="A2134" s="2" t="s">
        <v>4302</v>
      </c>
      <c r="B2134" s="2" t="s">
        <v>941</v>
      </c>
      <c r="C2134" s="3" t="str">
        <f>HYPERLINK("https://springer.com/42984")</f>
        <v>https://springer.com/42984</v>
      </c>
      <c r="D2134" s="2" t="s">
        <v>4303</v>
      </c>
      <c r="E2134" s="2" t="s">
        <v>8</v>
      </c>
    </row>
    <row r="2135" spans="1:5" ht="12.75" customHeight="1" x14ac:dyDescent="0.3">
      <c r="A2135" s="2" t="s">
        <v>4304</v>
      </c>
      <c r="B2135" s="2" t="s">
        <v>10</v>
      </c>
      <c r="C2135" s="3" t="str">
        <f>HYPERLINK("https://springer.com/42985")</f>
        <v>https://springer.com/42985</v>
      </c>
      <c r="D2135" s="2" t="s">
        <v>4305</v>
      </c>
      <c r="E2135" s="2" t="s">
        <v>8</v>
      </c>
    </row>
    <row r="2136" spans="1:5" ht="12.75" customHeight="1" x14ac:dyDescent="0.3">
      <c r="A2136" s="2" t="s">
        <v>4306</v>
      </c>
      <c r="B2136" s="2" t="s">
        <v>26</v>
      </c>
      <c r="C2136" s="3" t="str">
        <f>HYPERLINK("https://springer.com/42990")</f>
        <v>https://springer.com/42990</v>
      </c>
      <c r="D2136" s="2" t="s">
        <v>4307</v>
      </c>
      <c r="E2136" s="2" t="s">
        <v>8</v>
      </c>
    </row>
    <row r="2137" spans="1:5" ht="12.75" customHeight="1" x14ac:dyDescent="0.3">
      <c r="A2137" s="2" t="s">
        <v>4308</v>
      </c>
      <c r="B2137" s="2" t="s">
        <v>6</v>
      </c>
      <c r="C2137" s="3" t="str">
        <f>HYPERLINK("https://springer.com/42991")</f>
        <v>https://springer.com/42991</v>
      </c>
      <c r="D2137" s="2" t="s">
        <v>4309</v>
      </c>
      <c r="E2137" s="2" t="s">
        <v>8</v>
      </c>
    </row>
    <row r="2138" spans="1:5" ht="12.75" customHeight="1" x14ac:dyDescent="0.3">
      <c r="A2138" s="2" t="s">
        <v>4310</v>
      </c>
      <c r="B2138" s="2" t="s">
        <v>6</v>
      </c>
      <c r="C2138" s="3" t="str">
        <f>HYPERLINK("https://springer.com/42994")</f>
        <v>https://springer.com/42994</v>
      </c>
      <c r="D2138" s="2" t="s">
        <v>4311</v>
      </c>
      <c r="E2138" s="2" t="s">
        <v>8</v>
      </c>
    </row>
    <row r="2139" spans="1:5" ht="12.75" customHeight="1" x14ac:dyDescent="0.3">
      <c r="A2139" s="2" t="s">
        <v>4312</v>
      </c>
      <c r="B2139" s="2" t="s">
        <v>6</v>
      </c>
      <c r="C2139" s="3" t="str">
        <f>HYPERLINK("https://springer.com/42995")</f>
        <v>https://springer.com/42995</v>
      </c>
      <c r="D2139" s="2" t="s">
        <v>4313</v>
      </c>
      <c r="E2139" s="2" t="s">
        <v>8</v>
      </c>
    </row>
    <row r="2140" spans="1:5" ht="12.75" customHeight="1" x14ac:dyDescent="0.3">
      <c r="A2140" s="2" t="s">
        <v>4314</v>
      </c>
      <c r="B2140" s="2" t="s">
        <v>78</v>
      </c>
      <c r="C2140" s="3" t="str">
        <f>HYPERLINK("https://springer.com/43032")</f>
        <v>https://springer.com/43032</v>
      </c>
      <c r="D2140" s="2" t="s">
        <v>4315</v>
      </c>
      <c r="E2140" s="2" t="s">
        <v>8</v>
      </c>
    </row>
    <row r="2141" spans="1:5" ht="12.75" customHeight="1" x14ac:dyDescent="0.3">
      <c r="A2141" s="2" t="s">
        <v>4316</v>
      </c>
      <c r="B2141" s="2" t="s">
        <v>10</v>
      </c>
      <c r="C2141" s="3" t="str">
        <f>HYPERLINK("https://springer.com/43034")</f>
        <v>https://springer.com/43034</v>
      </c>
      <c r="D2141" s="2" t="s">
        <v>4317</v>
      </c>
      <c r="E2141" s="2" t="s">
        <v>8</v>
      </c>
    </row>
    <row r="2142" spans="1:5" ht="12.75" customHeight="1" x14ac:dyDescent="0.3">
      <c r="A2142" s="2" t="s">
        <v>4318</v>
      </c>
      <c r="B2142" s="2" t="s">
        <v>10</v>
      </c>
      <c r="C2142" s="3" t="str">
        <f>HYPERLINK("https://springer.com/43036")</f>
        <v>https://springer.com/43036</v>
      </c>
      <c r="D2142" s="2" t="s">
        <v>4319</v>
      </c>
      <c r="E2142" s="2" t="s">
        <v>8</v>
      </c>
    </row>
    <row r="2143" spans="1:5" ht="12.75" customHeight="1" x14ac:dyDescent="0.3">
      <c r="A2143" s="2" t="s">
        <v>4320</v>
      </c>
      <c r="B2143" s="2" t="s">
        <v>10</v>
      </c>
      <c r="C2143" s="3" t="str">
        <f>HYPERLINK("https://springer.com/43037")</f>
        <v>https://springer.com/43037</v>
      </c>
      <c r="D2143" s="2" t="s">
        <v>4321</v>
      </c>
      <c r="E2143" s="2" t="s">
        <v>8</v>
      </c>
    </row>
    <row r="2144" spans="1:5" ht="12.75" customHeight="1" x14ac:dyDescent="0.3">
      <c r="A2144" s="2" t="s">
        <v>4322</v>
      </c>
      <c r="B2144" s="2" t="s">
        <v>181</v>
      </c>
      <c r="C2144" s="3" t="str">
        <f>HYPERLINK("https://springer.com/43039")</f>
        <v>https://springer.com/43039</v>
      </c>
      <c r="D2144" s="2" t="s">
        <v>4323</v>
      </c>
      <c r="E2144" s="2" t="s">
        <v>8</v>
      </c>
    </row>
    <row r="2145" spans="1:5" ht="12.75" customHeight="1" x14ac:dyDescent="0.3">
      <c r="A2145" s="2" t="s">
        <v>4324</v>
      </c>
      <c r="B2145" s="2" t="s">
        <v>181</v>
      </c>
      <c r="C2145" s="3" t="str">
        <f>HYPERLINK("https://springer.com/43069")</f>
        <v>https://springer.com/43069</v>
      </c>
      <c r="D2145" s="2" t="s">
        <v>4325</v>
      </c>
      <c r="E2145" s="2" t="s">
        <v>8</v>
      </c>
    </row>
    <row r="2146" spans="1:5" ht="12.75" customHeight="1" x14ac:dyDescent="0.3">
      <c r="A2146" s="2" t="s">
        <v>4326</v>
      </c>
      <c r="B2146" s="2" t="s">
        <v>443</v>
      </c>
      <c r="C2146" s="3" t="str">
        <f>HYPERLINK("https://springer.com/43076")</f>
        <v>https://springer.com/43076</v>
      </c>
      <c r="D2146" s="2" t="s">
        <v>4327</v>
      </c>
      <c r="E2146" s="2" t="s">
        <v>8</v>
      </c>
    </row>
    <row r="2147" spans="1:5" ht="12.75" customHeight="1" x14ac:dyDescent="0.3">
      <c r="A2147" s="2" t="s">
        <v>4328</v>
      </c>
      <c r="B2147" s="2" t="s">
        <v>794</v>
      </c>
      <c r="C2147" s="3" t="str">
        <f>HYPERLINK("https://springer.com/43151")</f>
        <v>https://springer.com/43151</v>
      </c>
      <c r="D2147" s="2" t="s">
        <v>4329</v>
      </c>
      <c r="E2147" s="2" t="s">
        <v>8</v>
      </c>
    </row>
    <row r="2148" spans="1:5" ht="12.75" customHeight="1" x14ac:dyDescent="0.3">
      <c r="A2148" s="2" t="s">
        <v>4330</v>
      </c>
      <c r="B2148" s="2" t="s">
        <v>6</v>
      </c>
      <c r="C2148" s="3" t="str">
        <f>HYPERLINK("https://springer.com/43152")</f>
        <v>https://springer.com/43152</v>
      </c>
      <c r="D2148" s="2" t="s">
        <v>4331</v>
      </c>
      <c r="E2148" s="2" t="s">
        <v>8</v>
      </c>
    </row>
    <row r="2149" spans="1:5" ht="12.75" customHeight="1" x14ac:dyDescent="0.3">
      <c r="A2149" s="2" t="s">
        <v>4332</v>
      </c>
      <c r="B2149" s="2" t="s">
        <v>218</v>
      </c>
      <c r="C2149" s="3" t="str">
        <f>HYPERLINK("https://springer.com/43153")</f>
        <v>https://springer.com/43153</v>
      </c>
      <c r="D2149" s="2" t="s">
        <v>4333</v>
      </c>
      <c r="E2149" s="2" t="s">
        <v>8</v>
      </c>
    </row>
    <row r="2150" spans="1:5" ht="12.75" customHeight="1" x14ac:dyDescent="0.3">
      <c r="A2150" s="2" t="s">
        <v>4334</v>
      </c>
      <c r="B2150" s="2" t="s">
        <v>56</v>
      </c>
      <c r="C2150" s="3" t="str">
        <f>HYPERLINK("https://springer.com/43154")</f>
        <v>https://springer.com/43154</v>
      </c>
      <c r="D2150" s="2" t="s">
        <v>4335</v>
      </c>
      <c r="E2150" s="2" t="s">
        <v>8</v>
      </c>
    </row>
    <row r="2151" spans="1:5" ht="12.75" customHeight="1" x14ac:dyDescent="0.3">
      <c r="A2151" s="2" t="s">
        <v>4336</v>
      </c>
      <c r="B2151" s="2" t="s">
        <v>20</v>
      </c>
      <c r="C2151" s="3" t="str">
        <f>HYPERLINK("https://springer.com/43188")</f>
        <v>https://springer.com/43188</v>
      </c>
      <c r="D2151" s="2" t="s">
        <v>4337</v>
      </c>
      <c r="E2151" s="2" t="s">
        <v>8</v>
      </c>
    </row>
    <row r="2152" spans="1:5" ht="12.75" customHeight="1" x14ac:dyDescent="0.3">
      <c r="A2152" s="2" t="s">
        <v>4338</v>
      </c>
      <c r="B2152" s="2" t="s">
        <v>78</v>
      </c>
      <c r="C2152" s="3" t="str">
        <f>HYPERLINK("https://springer.com/43205")</f>
        <v>https://springer.com/43205</v>
      </c>
      <c r="D2152" s="2" t="s">
        <v>4339</v>
      </c>
      <c r="E2152" s="2" t="s">
        <v>8</v>
      </c>
    </row>
    <row r="2153" spans="1:5" ht="12.75" customHeight="1" x14ac:dyDescent="0.3">
      <c r="A2153" s="2" t="s">
        <v>4340</v>
      </c>
      <c r="B2153" s="2" t="s">
        <v>396</v>
      </c>
      <c r="C2153" s="3" t="str">
        <f>HYPERLINK("https://springer.com/43207")</f>
        <v>https://springer.com/43207</v>
      </c>
      <c r="D2153" s="2" t="s">
        <v>4341</v>
      </c>
      <c r="E2153" s="2" t="s">
        <v>8</v>
      </c>
    </row>
    <row r="2154" spans="1:5" ht="12.75" customHeight="1" x14ac:dyDescent="0.3">
      <c r="A2154" s="2" t="s">
        <v>4342</v>
      </c>
      <c r="B2154" s="2" t="s">
        <v>26</v>
      </c>
      <c r="C2154" s="3" t="str">
        <f>HYPERLINK("https://springer.com/43217")</f>
        <v>https://springer.com/43217</v>
      </c>
      <c r="D2154" s="2" t="s">
        <v>4343</v>
      </c>
      <c r="E2154" s="2" t="s">
        <v>8</v>
      </c>
    </row>
    <row r="2155" spans="1:5" ht="12.75" customHeight="1" x14ac:dyDescent="0.3">
      <c r="A2155" s="2" t="s">
        <v>4344</v>
      </c>
      <c r="B2155" s="2" t="s">
        <v>56</v>
      </c>
      <c r="C2155" s="3" t="str">
        <f>HYPERLINK("https://springer.com/43236")</f>
        <v>https://springer.com/43236</v>
      </c>
      <c r="D2155" s="2" t="s">
        <v>4345</v>
      </c>
      <c r="E2155" s="2" t="s">
        <v>8</v>
      </c>
    </row>
    <row r="2156" spans="1:5" ht="12.75" customHeight="1" x14ac:dyDescent="0.3">
      <c r="A2156" s="2" t="s">
        <v>4346</v>
      </c>
      <c r="B2156" s="2" t="s">
        <v>151</v>
      </c>
      <c r="C2156" s="3" t="str">
        <f>HYPERLINK("https://springer.com/43253")</f>
        <v>https://springer.com/43253</v>
      </c>
      <c r="D2156" s="2" t="s">
        <v>4347</v>
      </c>
      <c r="E2156" s="2" t="s">
        <v>8</v>
      </c>
    </row>
    <row r="2157" spans="1:5" ht="12.75" customHeight="1" x14ac:dyDescent="0.3">
      <c r="A2157" s="2" t="s">
        <v>4348</v>
      </c>
      <c r="B2157" s="2" t="s">
        <v>6</v>
      </c>
      <c r="C2157" s="3" t="str">
        <f>HYPERLINK("https://springer.com/43388")</f>
        <v>https://springer.com/43388</v>
      </c>
      <c r="D2157" s="2" t="s">
        <v>4349</v>
      </c>
      <c r="E2157" s="2" t="s">
        <v>8</v>
      </c>
    </row>
    <row r="2158" spans="1:5" ht="12.75" customHeight="1" x14ac:dyDescent="0.3">
      <c r="A2158" s="2" t="s">
        <v>4350</v>
      </c>
      <c r="B2158" s="2" t="s">
        <v>78</v>
      </c>
      <c r="C2158" s="3" t="str">
        <f>HYPERLINK("https://springer.com/43390")</f>
        <v>https://springer.com/43390</v>
      </c>
      <c r="D2158" s="2" t="s">
        <v>4351</v>
      </c>
      <c r="E2158" s="2" t="s">
        <v>8</v>
      </c>
    </row>
    <row r="2159" spans="1:5" ht="12.75" customHeight="1" x14ac:dyDescent="0.3">
      <c r="A2159" s="2" t="s">
        <v>4352</v>
      </c>
      <c r="B2159" s="2" t="s">
        <v>6</v>
      </c>
      <c r="C2159" s="3" t="str">
        <f>HYPERLINK("https://springer.com/43393")</f>
        <v>https://springer.com/43393</v>
      </c>
      <c r="D2159" s="2" t="s">
        <v>4353</v>
      </c>
      <c r="E2159" s="2" t="s">
        <v>8</v>
      </c>
    </row>
    <row r="2160" spans="1:5" ht="12.75" customHeight="1" x14ac:dyDescent="0.3">
      <c r="A2160" s="2" t="s">
        <v>4354</v>
      </c>
      <c r="B2160" s="2" t="s">
        <v>63</v>
      </c>
      <c r="C2160" s="3" t="str">
        <f>HYPERLINK("https://springer.com/43439")</f>
        <v>https://springer.com/43439</v>
      </c>
      <c r="D2160" s="2" t="s">
        <v>4355</v>
      </c>
      <c r="E2160" s="2" t="s">
        <v>8</v>
      </c>
    </row>
    <row r="2161" spans="1:5" ht="12.75" customHeight="1" x14ac:dyDescent="0.3">
      <c r="A2161" s="2" t="s">
        <v>4356</v>
      </c>
      <c r="B2161" s="2" t="s">
        <v>1706</v>
      </c>
      <c r="C2161" s="3" t="str">
        <f>HYPERLINK("https://springer.com/43440")</f>
        <v>https://springer.com/43440</v>
      </c>
      <c r="D2161" s="2" t="s">
        <v>4357</v>
      </c>
      <c r="E2161" s="2" t="s">
        <v>8</v>
      </c>
    </row>
    <row r="2162" spans="1:5" ht="12.75" customHeight="1" x14ac:dyDescent="0.3">
      <c r="A2162" s="2" t="s">
        <v>4358</v>
      </c>
      <c r="B2162" s="2" t="s">
        <v>1706</v>
      </c>
      <c r="C2162" s="3" t="str">
        <f>HYPERLINK("https://springer.com/43441")</f>
        <v>https://springer.com/43441</v>
      </c>
      <c r="D2162" s="2" t="s">
        <v>4359</v>
      </c>
      <c r="E2162" s="2" t="s">
        <v>8</v>
      </c>
    </row>
    <row r="2163" spans="1:5" ht="12.75" customHeight="1" x14ac:dyDescent="0.3">
      <c r="A2163" s="2" t="s">
        <v>4360</v>
      </c>
      <c r="B2163" s="2" t="s">
        <v>1706</v>
      </c>
      <c r="C2163" s="3" t="str">
        <f>HYPERLINK("https://springer.com/43450")</f>
        <v>https://springer.com/43450</v>
      </c>
      <c r="D2163" s="2" t="s">
        <v>4361</v>
      </c>
      <c r="E2163" s="2" t="s">
        <v>8</v>
      </c>
    </row>
    <row r="2164" spans="1:5" ht="12.75" customHeight="1" x14ac:dyDescent="0.3">
      <c r="A2164" s="2" t="s">
        <v>4362</v>
      </c>
      <c r="B2164" s="2" t="s">
        <v>56</v>
      </c>
      <c r="C2164" s="3" t="str">
        <f>HYPERLINK("https://springer.com/43452")</f>
        <v>https://springer.com/43452</v>
      </c>
      <c r="D2164" s="2" t="s">
        <v>4363</v>
      </c>
      <c r="E2164" s="2" t="s">
        <v>8</v>
      </c>
    </row>
    <row r="2165" spans="1:5" ht="12.75" customHeight="1" x14ac:dyDescent="0.3">
      <c r="A2165" s="2" t="s">
        <v>4364</v>
      </c>
      <c r="B2165" s="2" t="s">
        <v>78</v>
      </c>
      <c r="C2165" s="3" t="str">
        <f>HYPERLINK("https://springer.com/43465")</f>
        <v>https://springer.com/43465</v>
      </c>
      <c r="D2165" s="2" t="s">
        <v>4365</v>
      </c>
      <c r="E2165" s="2" t="s">
        <v>8</v>
      </c>
    </row>
    <row r="2166" spans="1:5" ht="12.75" customHeight="1" x14ac:dyDescent="0.3">
      <c r="A2166" s="2" t="s">
        <v>4366</v>
      </c>
      <c r="B2166" s="2" t="s">
        <v>78</v>
      </c>
      <c r="C2166" s="3" t="str">
        <f>HYPERLINK("https://springer.com/43472")</f>
        <v>https://springer.com/43472</v>
      </c>
      <c r="D2166" s="2" t="s">
        <v>4367</v>
      </c>
      <c r="E2166" s="2" t="s">
        <v>8</v>
      </c>
    </row>
    <row r="2167" spans="1:5" ht="12.75" customHeight="1" x14ac:dyDescent="0.3">
      <c r="A2167" s="2" t="s">
        <v>4368</v>
      </c>
      <c r="B2167" s="2" t="s">
        <v>443</v>
      </c>
      <c r="C2167" s="3" t="str">
        <f>HYPERLINK("https://springer.com/43477")</f>
        <v>https://springer.com/43477</v>
      </c>
      <c r="D2167" s="2" t="s">
        <v>4369</v>
      </c>
      <c r="E2167" s="2" t="s">
        <v>8</v>
      </c>
    </row>
    <row r="2168" spans="1:5" ht="12.75" customHeight="1" x14ac:dyDescent="0.3">
      <c r="A2168" s="2" t="s">
        <v>4370</v>
      </c>
      <c r="B2168" s="2" t="s">
        <v>868</v>
      </c>
      <c r="C2168" s="3" t="str">
        <f>HYPERLINK("https://springer.com/43493")</f>
        <v>https://springer.com/43493</v>
      </c>
      <c r="D2168" s="2" t="s">
        <v>4371</v>
      </c>
      <c r="E2168" s="2" t="s">
        <v>8</v>
      </c>
    </row>
    <row r="2169" spans="1:5" ht="12.75" customHeight="1" x14ac:dyDescent="0.3">
      <c r="A2169" s="2" t="s">
        <v>4372</v>
      </c>
      <c r="B2169" s="2" t="s">
        <v>443</v>
      </c>
      <c r="C2169" s="3" t="str">
        <f>HYPERLINK("https://springer.com/43494")</f>
        <v>https://springer.com/43494</v>
      </c>
      <c r="D2169" s="2" t="s">
        <v>4373</v>
      </c>
      <c r="E2169" s="2" t="s">
        <v>8</v>
      </c>
    </row>
    <row r="2170" spans="1:5" ht="12.75" customHeight="1" x14ac:dyDescent="0.3">
      <c r="A2170" s="2" t="s">
        <v>4374</v>
      </c>
      <c r="B2170" s="2" t="s">
        <v>1063</v>
      </c>
      <c r="C2170" s="3" t="str">
        <f>HYPERLINK("https://springer.com/43508")</f>
        <v>https://springer.com/43508</v>
      </c>
      <c r="D2170" s="2" t="s">
        <v>4375</v>
      </c>
      <c r="E2170" s="2" t="s">
        <v>8</v>
      </c>
    </row>
    <row r="2171" spans="1:5" ht="12.75" customHeight="1" x14ac:dyDescent="0.3">
      <c r="A2171" s="2" t="s">
        <v>4376</v>
      </c>
      <c r="B2171" s="2" t="s">
        <v>794</v>
      </c>
      <c r="C2171" s="3" t="str">
        <f>HYPERLINK("https://springer.com/43545")</f>
        <v>https://springer.com/43545</v>
      </c>
      <c r="D2171" s="2" t="s">
        <v>4377</v>
      </c>
      <c r="E2171" s="2" t="s">
        <v>8</v>
      </c>
    </row>
    <row r="2172" spans="1:5" ht="12.75" customHeight="1" x14ac:dyDescent="0.3">
      <c r="A2172" s="2" t="s">
        <v>4378</v>
      </c>
      <c r="B2172" s="2" t="s">
        <v>181</v>
      </c>
      <c r="C2172" s="3" t="str">
        <f>HYPERLINK("https://springer.com/43546")</f>
        <v>https://springer.com/43546</v>
      </c>
      <c r="D2172" s="2" t="s">
        <v>4379</v>
      </c>
      <c r="E2172" s="2" t="s">
        <v>8</v>
      </c>
    </row>
    <row r="2173" spans="1:5" ht="12.75" customHeight="1" x14ac:dyDescent="0.3">
      <c r="A2173" s="2" t="s">
        <v>4380</v>
      </c>
      <c r="B2173" s="2" t="s">
        <v>20</v>
      </c>
      <c r="C2173" s="3" t="str">
        <f>HYPERLINK("https://springer.com/43555")</f>
        <v>https://springer.com/43555</v>
      </c>
      <c r="D2173" s="2" t="s">
        <v>4381</v>
      </c>
      <c r="E2173" s="2" t="s">
        <v>8</v>
      </c>
    </row>
    <row r="2174" spans="1:5" ht="12.75" customHeight="1" x14ac:dyDescent="0.3">
      <c r="A2174" s="2" t="s">
        <v>4382</v>
      </c>
      <c r="B2174" s="2" t="s">
        <v>1076</v>
      </c>
      <c r="C2174" s="3" t="str">
        <f>HYPERLINK("https://springer.com/43576")</f>
        <v>https://springer.com/43576</v>
      </c>
      <c r="D2174" s="2" t="s">
        <v>4383</v>
      </c>
      <c r="E2174" s="2" t="s">
        <v>8</v>
      </c>
    </row>
    <row r="2175" spans="1:5" ht="12.75" customHeight="1" x14ac:dyDescent="0.3">
      <c r="A2175" s="2" t="s">
        <v>4384</v>
      </c>
      <c r="B2175" s="2" t="s">
        <v>396</v>
      </c>
      <c r="C2175" s="3" t="str">
        <f>HYPERLINK("https://springer.com/43577")</f>
        <v>https://springer.com/43577</v>
      </c>
      <c r="D2175" s="2" t="s">
        <v>4385</v>
      </c>
      <c r="E2175" s="2" t="s">
        <v>8</v>
      </c>
    </row>
    <row r="2176" spans="1:5" ht="12.75" customHeight="1" x14ac:dyDescent="0.3">
      <c r="A2176" s="2" t="s">
        <v>4386</v>
      </c>
      <c r="B2176" s="2" t="s">
        <v>396</v>
      </c>
      <c r="C2176" s="3" t="str">
        <f>HYPERLINK("https://springer.com/43578")</f>
        <v>https://springer.com/43578</v>
      </c>
      <c r="D2176" s="2" t="s">
        <v>4387</v>
      </c>
      <c r="E2176" s="2" t="s">
        <v>8</v>
      </c>
    </row>
    <row r="2177" spans="1:5" ht="12.75" customHeight="1" x14ac:dyDescent="0.3">
      <c r="A2177" s="2" t="s">
        <v>4388</v>
      </c>
      <c r="B2177" s="2" t="s">
        <v>396</v>
      </c>
      <c r="C2177" s="3" t="str">
        <f>HYPERLINK("https://springer.com/43579")</f>
        <v>https://springer.com/43579</v>
      </c>
      <c r="D2177" s="2" t="s">
        <v>4389</v>
      </c>
      <c r="E2177" s="2" t="s">
        <v>8</v>
      </c>
    </row>
    <row r="2178" spans="1:5" ht="12.75" customHeight="1" x14ac:dyDescent="0.3">
      <c r="A2178" s="2" t="s">
        <v>4390</v>
      </c>
      <c r="B2178" s="2" t="s">
        <v>396</v>
      </c>
      <c r="C2178" s="3" t="str">
        <f>HYPERLINK("https://springer.com/43580")</f>
        <v>https://springer.com/43580</v>
      </c>
      <c r="D2178" s="2" t="s">
        <v>4391</v>
      </c>
      <c r="E2178" s="2" t="s">
        <v>8</v>
      </c>
    </row>
    <row r="2179" spans="1:5" ht="12.75" customHeight="1" x14ac:dyDescent="0.3">
      <c r="A2179" s="2" t="s">
        <v>4392</v>
      </c>
      <c r="B2179" s="2" t="s">
        <v>396</v>
      </c>
      <c r="C2179" s="3" t="str">
        <f>HYPERLINK("https://springer.com/43581")</f>
        <v>https://springer.com/43581</v>
      </c>
      <c r="D2179" s="2" t="s">
        <v>4393</v>
      </c>
      <c r="E2179" s="2" t="s">
        <v>8</v>
      </c>
    </row>
    <row r="2180" spans="1:5" ht="12.75" customHeight="1" x14ac:dyDescent="0.3">
      <c r="A2180" s="2" t="s">
        <v>4394</v>
      </c>
      <c r="B2180" s="2" t="s">
        <v>753</v>
      </c>
      <c r="C2180" s="3" t="str">
        <f>HYPERLINK("https://springer.com/43594")</f>
        <v>https://springer.com/43594</v>
      </c>
      <c r="D2180" s="2" t="s">
        <v>4395</v>
      </c>
      <c r="E2180" s="2" t="s">
        <v>8</v>
      </c>
    </row>
    <row r="2181" spans="1:5" ht="12.75" customHeight="1" x14ac:dyDescent="0.3">
      <c r="A2181" s="2" t="s">
        <v>4396</v>
      </c>
      <c r="B2181" s="2" t="s">
        <v>133</v>
      </c>
      <c r="C2181" s="3" t="str">
        <f>HYPERLINK("https://springer.com/43615")</f>
        <v>https://springer.com/43615</v>
      </c>
      <c r="D2181" s="2" t="s">
        <v>4397</v>
      </c>
      <c r="E2181" s="2" t="s">
        <v>8</v>
      </c>
    </row>
    <row r="2182" spans="1:5" ht="12.75" customHeight="1" x14ac:dyDescent="0.3">
      <c r="A2182" s="2" t="s">
        <v>4398</v>
      </c>
      <c r="B2182" s="2" t="s">
        <v>218</v>
      </c>
      <c r="C2182" s="3" t="str">
        <f>HYPERLINK("https://springer.com/43630")</f>
        <v>https://springer.com/43630</v>
      </c>
      <c r="D2182" s="2" t="s">
        <v>4399</v>
      </c>
      <c r="E2182" s="2" t="s">
        <v>8</v>
      </c>
    </row>
    <row r="2183" spans="1:5" ht="12.75" customHeight="1" x14ac:dyDescent="0.3">
      <c r="A2183" s="2" t="s">
        <v>4400</v>
      </c>
      <c r="B2183" s="2" t="s">
        <v>794</v>
      </c>
      <c r="C2183" s="3" t="str">
        <f>HYPERLINK("https://springer.com/43638")</f>
        <v>https://springer.com/43638</v>
      </c>
      <c r="D2183" s="2" t="s">
        <v>4401</v>
      </c>
      <c r="E2183" s="2" t="s">
        <v>8</v>
      </c>
    </row>
    <row r="2184" spans="1:5" ht="12.75" customHeight="1" x14ac:dyDescent="0.3">
      <c r="A2184" s="2" t="s">
        <v>4402</v>
      </c>
      <c r="B2184" s="2" t="s">
        <v>20</v>
      </c>
      <c r="C2184" s="3" t="str">
        <f>HYPERLINK("https://springer.com/43657")</f>
        <v>https://springer.com/43657</v>
      </c>
      <c r="D2184" s="2" t="s">
        <v>4403</v>
      </c>
      <c r="E2184" s="2" t="s">
        <v>8</v>
      </c>
    </row>
    <row r="2185" spans="1:5" ht="12.75" customHeight="1" x14ac:dyDescent="0.3">
      <c r="A2185" s="2" t="s">
        <v>4404</v>
      </c>
      <c r="B2185" s="2" t="s">
        <v>10</v>
      </c>
      <c r="C2185" s="3" t="str">
        <f>HYPERLINK("https://springer.com/43670")</f>
        <v>https://springer.com/43670</v>
      </c>
      <c r="D2185" s="2" t="s">
        <v>4405</v>
      </c>
      <c r="E2185" s="2" t="s">
        <v>8</v>
      </c>
    </row>
    <row r="2186" spans="1:5" ht="12.75" customHeight="1" x14ac:dyDescent="0.3">
      <c r="A2186" s="2" t="s">
        <v>4406</v>
      </c>
      <c r="B2186" s="2" t="s">
        <v>56</v>
      </c>
      <c r="C2186" s="3" t="str">
        <f>HYPERLINK("https://springer.com/43674")</f>
        <v>https://springer.com/43674</v>
      </c>
      <c r="D2186" s="2" t="s">
        <v>4407</v>
      </c>
      <c r="E2186" s="2" t="s">
        <v>8</v>
      </c>
    </row>
    <row r="2187" spans="1:5" ht="12.75" customHeight="1" x14ac:dyDescent="0.3">
      <c r="A2187" s="2" t="s">
        <v>4408</v>
      </c>
      <c r="B2187" s="2" t="s">
        <v>78</v>
      </c>
      <c r="C2187" s="3" t="str">
        <f>HYPERLINK("https://springer.com/43678")</f>
        <v>https://springer.com/43678</v>
      </c>
      <c r="D2187" s="2" t="s">
        <v>4409</v>
      </c>
      <c r="E2187" s="2" t="s">
        <v>8</v>
      </c>
    </row>
    <row r="2188" spans="1:5" ht="12.75" customHeight="1" x14ac:dyDescent="0.3">
      <c r="A2188" s="2" t="s">
        <v>4410</v>
      </c>
      <c r="B2188" s="2" t="s">
        <v>63</v>
      </c>
      <c r="C2188" s="3" t="str">
        <f>HYPERLINK("https://springer.com/43681")</f>
        <v>https://springer.com/43681</v>
      </c>
      <c r="D2188" s="2" t="s">
        <v>4411</v>
      </c>
      <c r="E2188" s="2" t="s">
        <v>8</v>
      </c>
    </row>
    <row r="2189" spans="1:5" ht="12.75" customHeight="1" x14ac:dyDescent="0.3">
      <c r="A2189" s="2" t="s">
        <v>4412</v>
      </c>
      <c r="B2189" s="2" t="s">
        <v>20</v>
      </c>
      <c r="C2189" s="3" t="str">
        <f>HYPERLINK("https://springer.com/43683")</f>
        <v>https://springer.com/43683</v>
      </c>
      <c r="D2189" s="2" t="s">
        <v>4413</v>
      </c>
      <c r="E2189" s="2" t="s">
        <v>8</v>
      </c>
    </row>
    <row r="2190" spans="1:5" ht="12.75" customHeight="1" x14ac:dyDescent="0.3">
      <c r="A2190" s="2" t="s">
        <v>4414</v>
      </c>
      <c r="B2190" s="2" t="s">
        <v>78</v>
      </c>
      <c r="C2190" s="3" t="str">
        <f>HYPERLINK("https://springer.com/43830")</f>
        <v>https://springer.com/43830</v>
      </c>
      <c r="D2190" s="2" t="s">
        <v>4415</v>
      </c>
      <c r="E2190" s="2" t="s">
        <v>8</v>
      </c>
    </row>
    <row r="2191" spans="1:5" ht="12.75" customHeight="1" x14ac:dyDescent="0.3">
      <c r="A2191" s="2" t="s">
        <v>4416</v>
      </c>
      <c r="B2191" s="2" t="s">
        <v>10</v>
      </c>
      <c r="C2191" s="3" t="str">
        <f>HYPERLINK("https://springer.com/44007")</f>
        <v>https://springer.com/44007</v>
      </c>
      <c r="D2191" s="2" t="s">
        <v>4417</v>
      </c>
      <c r="E2191" s="2" t="s">
        <v>8</v>
      </c>
    </row>
    <row r="2192" spans="1:5" ht="12.75" customHeight="1" x14ac:dyDescent="0.3">
      <c r="A2192" s="2" t="s">
        <v>4418</v>
      </c>
      <c r="B2192" s="2" t="s">
        <v>753</v>
      </c>
      <c r="C2192" s="3" t="str">
        <f>HYPERLINK("https://springer.com/44020")</f>
        <v>https://springer.com/44020</v>
      </c>
      <c r="D2192" s="2" t="s">
        <v>4419</v>
      </c>
      <c r="E2192" s="2" t="s">
        <v>8</v>
      </c>
    </row>
    <row r="2193" spans="1:5" ht="12.75" customHeight="1" x14ac:dyDescent="0.3">
      <c r="A2193" s="2" t="s">
        <v>4420</v>
      </c>
      <c r="B2193" s="2" t="s">
        <v>10</v>
      </c>
      <c r="C2193" s="3" t="str">
        <f>HYPERLINK("https://springer.com/44146")</f>
        <v>https://springer.com/44146</v>
      </c>
      <c r="D2193" s="2" t="s">
        <v>4421</v>
      </c>
      <c r="E2193" s="2" t="s">
        <v>8</v>
      </c>
    </row>
    <row r="2194" spans="1:5" ht="12.75" customHeight="1" x14ac:dyDescent="0.3">
      <c r="A2194" s="2" t="s">
        <v>4422</v>
      </c>
      <c r="B2194" s="2" t="s">
        <v>56</v>
      </c>
      <c r="C2194" s="3" t="str">
        <f>HYPERLINK("https://springer.com/44150")</f>
        <v>https://springer.com/44150</v>
      </c>
      <c r="D2194" s="2" t="s">
        <v>4423</v>
      </c>
      <c r="E2194" s="2" t="s">
        <v>8</v>
      </c>
    </row>
    <row r="2195" spans="1:5" ht="12.75" customHeight="1" x14ac:dyDescent="0.3">
      <c r="A2195" s="2" t="s">
        <v>4424</v>
      </c>
      <c r="B2195" s="2" t="s">
        <v>20</v>
      </c>
      <c r="C2195" s="3" t="str">
        <f>HYPERLINK("https://springer.com/44164")</f>
        <v>https://springer.com/44164</v>
      </c>
      <c r="D2195" s="2" t="s">
        <v>4425</v>
      </c>
      <c r="E2195" s="2" t="s">
        <v>8</v>
      </c>
    </row>
    <row r="2196" spans="1:5" ht="12.75" customHeight="1" x14ac:dyDescent="0.3">
      <c r="A2196" s="2" t="s">
        <v>4426</v>
      </c>
      <c r="B2196" s="2" t="s">
        <v>133</v>
      </c>
      <c r="C2196" s="3" t="str">
        <f>HYPERLINK("https://springer.com/44169")</f>
        <v>https://springer.com/44169</v>
      </c>
      <c r="D2196" s="2" t="s">
        <v>4427</v>
      </c>
      <c r="E2196" s="2" t="s">
        <v>8</v>
      </c>
    </row>
    <row r="2197" spans="1:5" ht="12.75" customHeight="1" x14ac:dyDescent="0.3">
      <c r="A2197" s="2" t="s">
        <v>4428</v>
      </c>
      <c r="B2197" s="2" t="s">
        <v>396</v>
      </c>
      <c r="C2197" s="3" t="str">
        <f>HYPERLINK("https://springer.com/44174")</f>
        <v>https://springer.com/44174</v>
      </c>
      <c r="D2197" s="2" t="s">
        <v>4429</v>
      </c>
      <c r="E2197" s="2" t="s">
        <v>8</v>
      </c>
    </row>
    <row r="2198" spans="1:5" ht="12.75" customHeight="1" x14ac:dyDescent="0.3">
      <c r="A2198" s="2" t="s">
        <v>4430</v>
      </c>
      <c r="B2198" s="2" t="s">
        <v>133</v>
      </c>
      <c r="C2198" s="3" t="str">
        <f>HYPERLINK("https://springer.com/44177")</f>
        <v>https://springer.com/44177</v>
      </c>
      <c r="D2198" s="2" t="s">
        <v>4431</v>
      </c>
      <c r="E2198" s="2" t="s">
        <v>8</v>
      </c>
    </row>
    <row r="2199" spans="1:5" ht="12.75" customHeight="1" x14ac:dyDescent="0.3">
      <c r="A2199" s="2" t="s">
        <v>4432</v>
      </c>
      <c r="B2199" s="2" t="s">
        <v>78</v>
      </c>
      <c r="C2199" s="3" t="str">
        <f>HYPERLINK("https://springer.com/44179")</f>
        <v>https://springer.com/44179</v>
      </c>
      <c r="D2199" s="2" t="s">
        <v>4433</v>
      </c>
      <c r="E2199" s="2" t="s">
        <v>8</v>
      </c>
    </row>
    <row r="2200" spans="1:5" ht="12.75" customHeight="1" x14ac:dyDescent="0.3">
      <c r="A2200" s="2" t="s">
        <v>4434</v>
      </c>
      <c r="B2200" s="2" t="s">
        <v>78</v>
      </c>
      <c r="C2200" s="3" t="str">
        <f>HYPERLINK("https://springer.com/44180")</f>
        <v>https://springer.com/44180</v>
      </c>
      <c r="D2200" s="2" t="s">
        <v>4435</v>
      </c>
      <c r="E2200" s="2" t="s">
        <v>8</v>
      </c>
    </row>
    <row r="2201" spans="1:5" ht="12.75" customHeight="1" x14ac:dyDescent="0.3">
      <c r="A2201" s="2" t="s">
        <v>4436</v>
      </c>
      <c r="B2201" s="2" t="s">
        <v>78</v>
      </c>
      <c r="C2201" s="3" t="str">
        <f>HYPERLINK("https://springer.com/44186")</f>
        <v>https://springer.com/44186</v>
      </c>
      <c r="D2201" s="2" t="s">
        <v>4437</v>
      </c>
      <c r="E2201" s="2" t="s">
        <v>8</v>
      </c>
    </row>
    <row r="2202" spans="1:5" ht="12.75" customHeight="1" x14ac:dyDescent="0.3">
      <c r="A2202" s="2" t="s">
        <v>4438</v>
      </c>
      <c r="B2202" s="2" t="s">
        <v>82</v>
      </c>
      <c r="C2202" s="3" t="str">
        <f>HYPERLINK("https://springer.com/44190")</f>
        <v>https://springer.com/44190</v>
      </c>
      <c r="D2202" s="2" t="s">
        <v>4439</v>
      </c>
      <c r="E2202" s="2" t="s">
        <v>8</v>
      </c>
    </row>
    <row r="2203" spans="1:5" ht="12.75" customHeight="1" x14ac:dyDescent="0.3">
      <c r="A2203" s="2" t="s">
        <v>4440</v>
      </c>
      <c r="B2203" s="2" t="s">
        <v>868</v>
      </c>
      <c r="C2203" s="3" t="str">
        <f>HYPERLINK("https://springer.com/44204")</f>
        <v>https://springer.com/44204</v>
      </c>
      <c r="D2203" s="2" t="s">
        <v>4441</v>
      </c>
      <c r="E2203" s="2" t="s">
        <v>8</v>
      </c>
    </row>
    <row r="2204" spans="1:5" ht="12.75" customHeight="1" x14ac:dyDescent="0.3">
      <c r="A2204" s="2" t="s">
        <v>4442</v>
      </c>
      <c r="B2204" s="2" t="s">
        <v>63</v>
      </c>
      <c r="C2204" s="3" t="str">
        <f>HYPERLINK("https://springer.com/44206")</f>
        <v>https://springer.com/44206</v>
      </c>
      <c r="D2204" s="2" t="s">
        <v>4443</v>
      </c>
      <c r="E2204" s="2" t="s">
        <v>8</v>
      </c>
    </row>
    <row r="2205" spans="1:5" ht="12.75" customHeight="1" x14ac:dyDescent="0.3">
      <c r="A2205" s="2" t="s">
        <v>4444</v>
      </c>
      <c r="B2205" s="2" t="s">
        <v>396</v>
      </c>
      <c r="C2205" s="3" t="str">
        <f>HYPERLINK("https://springer.com/44210")</f>
        <v>https://springer.com/44210</v>
      </c>
      <c r="D2205" s="2" t="s">
        <v>4445</v>
      </c>
      <c r="E2205" s="2" t="s">
        <v>8</v>
      </c>
    </row>
    <row r="2206" spans="1:5" ht="12.75" customHeight="1" x14ac:dyDescent="0.3">
      <c r="A2206" s="2" t="s">
        <v>4446</v>
      </c>
      <c r="B2206" s="2" t="s">
        <v>218</v>
      </c>
      <c r="C2206" s="3" t="str">
        <f>HYPERLINK("https://springer.com/44211")</f>
        <v>https://springer.com/44211</v>
      </c>
      <c r="D2206" s="2" t="s">
        <v>4447</v>
      </c>
      <c r="E2206" s="2" t="s">
        <v>8</v>
      </c>
    </row>
    <row r="2207" spans="1:5" ht="12.75" customHeight="1" x14ac:dyDescent="0.3">
      <c r="A2207" s="2" t="s">
        <v>4448</v>
      </c>
      <c r="B2207" s="2" t="s">
        <v>78</v>
      </c>
      <c r="C2207" s="3" t="str">
        <f>HYPERLINK("https://springer.com/44266")</f>
        <v>https://springer.com/44266</v>
      </c>
      <c r="D2207" s="2" t="s">
        <v>4449</v>
      </c>
      <c r="E2207" s="2" t="s">
        <v>8</v>
      </c>
    </row>
    <row r="2208" spans="1:5" ht="12.75" customHeight="1" x14ac:dyDescent="0.3">
      <c r="A2208" s="2" t="s">
        <v>4450</v>
      </c>
      <c r="B2208" s="2" t="s">
        <v>82</v>
      </c>
      <c r="C2208" s="3" t="str">
        <f>HYPERLINK("https://springer.com/44293")</f>
        <v>https://springer.com/44293</v>
      </c>
      <c r="D2208" s="2" t="s">
        <v>4451</v>
      </c>
      <c r="E2208" s="2" t="s">
        <v>8</v>
      </c>
    </row>
    <row r="2209" spans="1:5" ht="12.75" customHeight="1" x14ac:dyDescent="0.3">
      <c r="A2209" s="2" t="s">
        <v>4452</v>
      </c>
      <c r="B2209" s="2" t="s">
        <v>78</v>
      </c>
      <c r="C2209" s="3" t="str">
        <f>HYPERLINK("https://springer.com/44332")</f>
        <v>https://springer.com/44332</v>
      </c>
      <c r="D2209" s="2" t="s">
        <v>4453</v>
      </c>
      <c r="E2209" s="2" t="s">
        <v>8</v>
      </c>
    </row>
    <row r="2210" spans="1:5" ht="12.75" customHeight="1" x14ac:dyDescent="0.3">
      <c r="A2210" s="2" t="s">
        <v>4454</v>
      </c>
      <c r="B2210" s="2" t="s">
        <v>753</v>
      </c>
      <c r="C2210" s="3" t="str">
        <f>HYPERLINK("https://springer.com/44366")</f>
        <v>https://springer.com/44366</v>
      </c>
      <c r="D2210" s="2" t="s">
        <v>4455</v>
      </c>
      <c r="E2210" s="2" t="s">
        <v>8</v>
      </c>
    </row>
    <row r="2211" spans="1:5" ht="12.75" customHeight="1" x14ac:dyDescent="0.3">
      <c r="A2211" s="2" t="s">
        <v>4456</v>
      </c>
      <c r="B2211" s="2" t="s">
        <v>56</v>
      </c>
      <c r="C2211" s="3" t="str">
        <f>HYPERLINK("https://springer.com/44379")</f>
        <v>https://springer.com/44379</v>
      </c>
      <c r="D2211" s="2" t="s">
        <v>4457</v>
      </c>
      <c r="E2211" s="2" t="s">
        <v>8</v>
      </c>
    </row>
    <row r="2212" spans="1:5" ht="12.75" customHeight="1" x14ac:dyDescent="0.3">
      <c r="A2212" s="2" t="s">
        <v>4458</v>
      </c>
      <c r="B2212" s="2" t="s">
        <v>6</v>
      </c>
      <c r="C2212" s="3" t="str">
        <f>HYPERLINK("https://springer.com/44391")</f>
        <v>https://springer.com/44391</v>
      </c>
      <c r="D2212" s="2" t="s">
        <v>4459</v>
      </c>
      <c r="E2212" s="2" t="s">
        <v>8</v>
      </c>
    </row>
    <row r="2213" spans="1:5" ht="12.75" customHeight="1" x14ac:dyDescent="0.3">
      <c r="A2213" s="2" t="s">
        <v>4460</v>
      </c>
      <c r="B2213" s="2" t="s">
        <v>6</v>
      </c>
      <c r="C2213" s="3" t="str">
        <f>HYPERLINK("https://springer.com/44392")</f>
        <v>https://springer.com/44392</v>
      </c>
      <c r="D2213" s="2" t="s">
        <v>4461</v>
      </c>
      <c r="E2213" s="2" t="s">
        <v>8</v>
      </c>
    </row>
    <row r="2214" spans="1:5" ht="12.75" customHeight="1" x14ac:dyDescent="0.3">
      <c r="A2214" s="2" t="s">
        <v>4462</v>
      </c>
      <c r="B2214" s="2" t="s">
        <v>78</v>
      </c>
      <c r="C2214" s="3" t="str">
        <f>HYPERLINK("https://springer.com/44411")</f>
        <v>https://springer.com/44411</v>
      </c>
      <c r="D2214" s="2" t="s">
        <v>4463</v>
      </c>
      <c r="E2214" s="2" t="s">
        <v>8</v>
      </c>
    </row>
    <row r="2215" spans="1:5" ht="12.75" customHeight="1" x14ac:dyDescent="0.3">
      <c r="A2215" s="2" t="s">
        <v>4464</v>
      </c>
      <c r="B2215" s="2" t="s">
        <v>10</v>
      </c>
      <c r="C2215" s="3" t="str">
        <f>HYPERLINK("https://springer.com/44425")</f>
        <v>https://springer.com/44425</v>
      </c>
      <c r="D2215" s="2" t="s">
        <v>4465</v>
      </c>
      <c r="E2215" s="2" t="s">
        <v>8</v>
      </c>
    </row>
    <row r="2216" spans="1:5" ht="12.75" customHeight="1" x14ac:dyDescent="0.3">
      <c r="A2216" s="2" t="s">
        <v>4466</v>
      </c>
      <c r="B2216" s="2" t="s">
        <v>10</v>
      </c>
      <c r="C2216" s="3" t="str">
        <f>HYPERLINK("https://springer.com/44426")</f>
        <v>https://springer.com/44426</v>
      </c>
      <c r="D2216" s="2" t="s">
        <v>4467</v>
      </c>
      <c r="E2216" s="2" t="s">
        <v>8</v>
      </c>
    </row>
    <row r="2217" spans="1:5" ht="12.75" customHeight="1" x14ac:dyDescent="0.3">
      <c r="A2217" s="2" t="s">
        <v>4468</v>
      </c>
      <c r="B2217" s="2" t="s">
        <v>63</v>
      </c>
      <c r="C2217" s="3" t="str">
        <f>HYPERLINK("https://springer.com/44427")</f>
        <v>https://springer.com/44427</v>
      </c>
      <c r="D2217" s="2" t="s">
        <v>4469</v>
      </c>
      <c r="E2217" s="2" t="s">
        <v>8</v>
      </c>
    </row>
    <row r="2218" spans="1:5" ht="12.75" customHeight="1" x14ac:dyDescent="0.3">
      <c r="A2218" s="2" t="s">
        <v>4470</v>
      </c>
      <c r="B2218" s="2" t="s">
        <v>941</v>
      </c>
      <c r="C2218" s="3" t="str">
        <f>HYPERLINK("https://springer.com/44428")</f>
        <v>https://springer.com/44428</v>
      </c>
      <c r="D2218" s="2" t="s">
        <v>4471</v>
      </c>
      <c r="E2218" s="2" t="s">
        <v>8</v>
      </c>
    </row>
    <row r="2219" spans="1:5" ht="12.75" customHeight="1" x14ac:dyDescent="0.3">
      <c r="A2219" s="2" t="s">
        <v>4472</v>
      </c>
      <c r="B2219" s="2" t="s">
        <v>10</v>
      </c>
      <c r="C2219" s="3" t="str">
        <f>HYPERLINK("https://springer.com/44439")</f>
        <v>https://springer.com/44439</v>
      </c>
      <c r="D2219" s="2" t="s">
        <v>4473</v>
      </c>
      <c r="E2219" s="2" t="s">
        <v>8</v>
      </c>
    </row>
  </sheetData>
  <autoFilter ref="A2:E2219" xr:uid="{00000000-0009-0000-0000-000000000000}"/>
  <pageMargins left="0.40000000000000008" right="0.40000000000000008" top="0.80000000000000016" bottom="0.40000000000000008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Springer Hybrid</vt:lpstr>
      <vt:lpstr>'Springer Hybrid'!Druckbereich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cp:revision>1</cp:revision>
  <dcterms:created xsi:type="dcterms:W3CDTF">2025-01-22T12:22:01Z</dcterms:created>
  <dcterms:modified xsi:type="dcterms:W3CDTF">2025-03-06T08:02:18Z</dcterms:modified>
</cp:coreProperties>
</file>